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6420" windowWidth="28860" windowHeight="7995"/>
  </bookViews>
  <sheets>
    <sheet name="Сводная таблица" sheetId="17" r:id="rId1"/>
    <sheet name="Финансы" sheetId="5" r:id="rId2"/>
    <sheet name="Образование" sheetId="1" r:id="rId3"/>
    <sheet name="СОНКО" sheetId="12" r:id="rId4"/>
    <sheet name="Культура" sheetId="10" r:id="rId5"/>
    <sheet name="Молодежь" sheetId="22" r:id="rId6"/>
    <sheet name="Физическая культура" sheetId="8" r:id="rId7"/>
    <sheet name="Отрасли экономики" sheetId="15" r:id="rId8"/>
    <sheet name="Развитие транспорта" sheetId="9" r:id="rId9"/>
    <sheet name="ЖКХ" sheetId="16" r:id="rId10"/>
    <sheet name="Связь" sheetId="14" r:id="rId11"/>
    <sheet name="ДКС" sheetId="13" r:id="rId12"/>
    <sheet name="Сельское хозяйство" sheetId="7" r:id="rId13"/>
    <sheet name="КМНС" sheetId="2" r:id="rId14"/>
    <sheet name="Муниципальное имущество" sheetId="21" r:id="rId15"/>
    <sheet name="Улучшение жилищных усл." sheetId="20" r:id="rId16"/>
    <sheet name="Охрана труда" sheetId="3" r:id="rId17"/>
    <sheet name="Терроризм-Экстремизм" sheetId="19" r:id="rId18"/>
    <sheet name="Правонарушения" sheetId="25" r:id="rId19"/>
    <sheet name="Лист1" sheetId="23" state="hidden" r:id="rId20"/>
  </sheets>
  <definedNames>
    <definedName name="_xlnm.Print_Area" localSheetId="11">ДКС!$A$1:$O$17</definedName>
    <definedName name="_xlnm.Print_Area" localSheetId="9">ЖКХ!$A$1:$O$59</definedName>
    <definedName name="_xlnm.Print_Area" localSheetId="13">КМНС!$A$1:$O$19</definedName>
    <definedName name="_xlnm.Print_Area" localSheetId="4">Культура!$A$1:$O$37</definedName>
    <definedName name="_xlnm.Print_Area" localSheetId="19">Лист1!$A$1:$AJ$22</definedName>
    <definedName name="_xlnm.Print_Area" localSheetId="5">Молодежь!$A$1:$O$14</definedName>
    <definedName name="_xlnm.Print_Area" localSheetId="14">'Муниципальное имущество'!$A$1:$O$30</definedName>
    <definedName name="_xlnm.Print_Area" localSheetId="2">Образование!$A$1:$O$42</definedName>
    <definedName name="_xlnm.Print_Area" localSheetId="7">'Отрасли экономики'!$A$1:$O$27</definedName>
    <definedName name="_xlnm.Print_Area" localSheetId="16">'Охрана труда'!$A$1:$O$25</definedName>
    <definedName name="_xlnm.Print_Area" localSheetId="18">Правонарушения!$A$1:$O$18</definedName>
    <definedName name="_xlnm.Print_Area" localSheetId="8">'Развитие транспорта'!$A$1:$O$36</definedName>
    <definedName name="_xlnm.Print_Area" localSheetId="0">'Сводная таблица'!$A$1:$N$71</definedName>
    <definedName name="_xlnm.Print_Area" localSheetId="10">Связь!$A$1:$O$24</definedName>
    <definedName name="_xlnm.Print_Area" localSheetId="12">'Сельское хозяйство'!$A$1:$O$33</definedName>
    <definedName name="_xlnm.Print_Area" localSheetId="3">СОНКО!$A$1:$O$13</definedName>
    <definedName name="_xlnm.Print_Area" localSheetId="6">'Физическая культура'!$A$1:$O$21</definedName>
    <definedName name="_xlnm.Print_Area" localSheetId="1">Финансы!$A$1:$O$28</definedName>
  </definedNames>
  <calcPr calcId="125725"/>
</workbook>
</file>

<file path=xl/calcChain.xml><?xml version="1.0" encoding="utf-8"?>
<calcChain xmlns="http://schemas.openxmlformats.org/spreadsheetml/2006/main">
  <c r="N7" i="5"/>
  <c r="L7"/>
  <c r="H9"/>
  <c r="O6" i="16"/>
  <c r="M35"/>
  <c r="L35"/>
  <c r="D60"/>
  <c r="I47"/>
  <c r="M6" i="13" l="1"/>
  <c r="M30" i="17"/>
  <c r="L30"/>
  <c r="M24" i="9"/>
  <c r="N6"/>
  <c r="O6"/>
  <c r="L6"/>
  <c r="D37"/>
  <c r="N6" i="8" l="1"/>
  <c r="M6"/>
  <c r="O6"/>
  <c r="M6" i="10"/>
  <c r="N6"/>
  <c r="M39" i="1" l="1"/>
  <c r="M34"/>
  <c r="M13"/>
  <c r="O7"/>
  <c r="L7" i="17"/>
  <c r="L26"/>
  <c r="M21" i="15"/>
  <c r="O6"/>
  <c r="H27"/>
  <c r="M13"/>
  <c r="D28"/>
  <c r="I19"/>
  <c r="I18"/>
  <c r="H17"/>
  <c r="H10" i="25"/>
  <c r="M13" i="20" l="1"/>
  <c r="M21"/>
  <c r="M25"/>
  <c r="M27"/>
  <c r="M29"/>
  <c r="M6" i="19"/>
  <c r="N6"/>
  <c r="O6"/>
  <c r="L64" i="17"/>
  <c r="L57"/>
  <c r="E65"/>
  <c r="D19" i="19"/>
  <c r="F60" i="17" l="1"/>
  <c r="E60"/>
  <c r="D60"/>
  <c r="C60"/>
  <c r="H28" i="20"/>
  <c r="N8" i="3" l="1"/>
  <c r="I25"/>
  <c r="H25"/>
  <c r="M6" i="21"/>
  <c r="O6"/>
  <c r="N6"/>
  <c r="I29"/>
  <c r="H16"/>
  <c r="H21"/>
  <c r="H19"/>
  <c r="H14"/>
  <c r="N6" i="2" l="1"/>
  <c r="O6" i="7" l="1"/>
  <c r="M32"/>
  <c r="L32"/>
  <c r="E51" i="17"/>
  <c r="M30" i="7"/>
  <c r="N6"/>
  <c r="N7" i="1"/>
  <c r="N6" i="13" l="1"/>
  <c r="O6" l="1"/>
  <c r="H14"/>
  <c r="L6" i="14"/>
  <c r="M6"/>
  <c r="O6"/>
  <c r="M10"/>
  <c r="M23"/>
  <c r="M16"/>
  <c r="D39" i="17" l="1"/>
  <c r="C39"/>
  <c r="D38"/>
  <c r="C38"/>
  <c r="M29" i="16"/>
  <c r="M19"/>
  <c r="H43" l="1"/>
  <c r="H39"/>
  <c r="I39" s="1"/>
  <c r="H27" i="9"/>
  <c r="I43" i="16" l="1"/>
  <c r="M14" i="9"/>
  <c r="M18"/>
  <c r="M11"/>
  <c r="I35"/>
  <c r="I36"/>
  <c r="I34"/>
  <c r="I32" l="1"/>
  <c r="H16" l="1"/>
  <c r="H9" l="1"/>
  <c r="H18" i="8" l="1"/>
  <c r="H17"/>
  <c r="H15"/>
  <c r="I15" s="1"/>
  <c r="O6" i="10" l="1"/>
  <c r="M14" l="1"/>
  <c r="D38"/>
  <c r="M23"/>
  <c r="H29"/>
  <c r="H17"/>
  <c r="H18" i="1"/>
  <c r="M13" i="5" l="1"/>
  <c r="N7" i="17" l="1"/>
  <c r="N8" l="1"/>
  <c r="N9"/>
  <c r="N10"/>
  <c r="H30" i="20" l="1"/>
  <c r="H18" i="7" l="1"/>
  <c r="H19"/>
  <c r="H17"/>
  <c r="H21"/>
  <c r="H31"/>
  <c r="H33"/>
  <c r="I13" i="13"/>
  <c r="I14"/>
  <c r="I11"/>
  <c r="H13"/>
  <c r="H10"/>
  <c r="I30" i="16" l="1"/>
  <c r="L13" i="15" l="1"/>
  <c r="H15"/>
  <c r="H14"/>
  <c r="L6" i="22" l="1"/>
  <c r="H11" i="10" l="1"/>
  <c r="H8" l="1"/>
  <c r="H33"/>
  <c r="H9" i="12" l="1"/>
  <c r="H25" i="7" l="1"/>
  <c r="C69" i="17" l="1"/>
  <c r="H68"/>
  <c r="D68"/>
  <c r="D69" s="1"/>
  <c r="C68"/>
  <c r="N6" i="25"/>
  <c r="H17"/>
  <c r="H15"/>
  <c r="I15" s="1"/>
  <c r="H11"/>
  <c r="I11" s="1"/>
  <c r="I10"/>
  <c r="H13"/>
  <c r="I13" s="1"/>
  <c r="L6"/>
  <c r="E68" i="17" s="1"/>
  <c r="E69" s="1"/>
  <c r="L68" l="1"/>
  <c r="M68" s="1"/>
  <c r="I17" i="25"/>
  <c r="O6" s="1"/>
  <c r="J68" i="17" s="1"/>
  <c r="M6" i="25"/>
  <c r="F68" i="17" s="1"/>
  <c r="F69" s="1"/>
  <c r="M48" l="1"/>
  <c r="F48"/>
  <c r="M16" l="1"/>
  <c r="F8" l="1"/>
  <c r="H23" i="15" l="1"/>
  <c r="H22"/>
  <c r="I22" s="1"/>
  <c r="D15" i="13" l="1"/>
  <c r="L6" i="16" l="1"/>
  <c r="L6" i="8"/>
  <c r="L6" i="12"/>
  <c r="M8" i="3" l="1"/>
  <c r="M12" i="2" l="1"/>
  <c r="I25" i="7" l="1"/>
  <c r="L6"/>
  <c r="L7" i="1" l="1"/>
  <c r="H26" i="20" l="1"/>
  <c r="I30" l="1"/>
  <c r="D31"/>
  <c r="L29"/>
  <c r="C7" i="17" l="1"/>
  <c r="I17" i="8" l="1"/>
  <c r="I18"/>
  <c r="H9"/>
  <c r="H10"/>
  <c r="H8" i="22" l="1"/>
  <c r="N6" s="1"/>
  <c r="H11"/>
  <c r="H13" i="12" l="1"/>
  <c r="M6" s="1"/>
  <c r="I14" i="16" l="1"/>
  <c r="I15"/>
  <c r="I16"/>
  <c r="I17"/>
  <c r="H30" i="9" l="1"/>
  <c r="M23" i="7" l="1"/>
  <c r="H14"/>
  <c r="H15"/>
  <c r="I15" s="1"/>
  <c r="H8"/>
  <c r="D43" i="1" l="1"/>
  <c r="H32" l="1"/>
  <c r="I32" s="1"/>
  <c r="L32" i="16" l="1"/>
  <c r="E35" i="17"/>
  <c r="M25"/>
  <c r="D29" i="5"/>
  <c r="D16" i="17"/>
  <c r="C16"/>
  <c r="H8" i="12"/>
  <c r="N6" s="1"/>
  <c r="D14"/>
  <c r="M63" i="17"/>
  <c r="N63" s="1"/>
  <c r="M62"/>
  <c r="M59"/>
  <c r="M61"/>
  <c r="N61" s="1"/>
  <c r="M58"/>
  <c r="N58" s="1"/>
  <c r="D59"/>
  <c r="D58"/>
  <c r="C59"/>
  <c r="C58"/>
  <c r="I26" i="20"/>
  <c r="L27"/>
  <c r="E59" i="17" s="1"/>
  <c r="L25" i="20"/>
  <c r="E58" i="17" s="1"/>
  <c r="I28" i="20" l="1"/>
  <c r="O6" s="1"/>
  <c r="F59" i="17"/>
  <c r="F58"/>
  <c r="I17" i="7"/>
  <c r="I18"/>
  <c r="I19"/>
  <c r="D34"/>
  <c r="I21" i="14" l="1"/>
  <c r="D25"/>
  <c r="M26" i="15" l="1"/>
  <c r="I24"/>
  <c r="H8" i="9" l="1"/>
  <c r="H12" i="8"/>
  <c r="I21"/>
  <c r="D22"/>
  <c r="L6" i="10"/>
  <c r="F18" i="17"/>
  <c r="D11"/>
  <c r="H7"/>
  <c r="H22" i="20"/>
  <c r="H19" i="3"/>
  <c r="N6" i="15" l="1"/>
  <c r="H8" i="13"/>
  <c r="D22" i="17" l="1"/>
  <c r="D23" s="1"/>
  <c r="C22"/>
  <c r="C23" s="1"/>
  <c r="D15" i="22"/>
  <c r="E22" i="17"/>
  <c r="E23" s="1"/>
  <c r="I10" i="22"/>
  <c r="I14"/>
  <c r="H13"/>
  <c r="I11"/>
  <c r="H22" i="17"/>
  <c r="M64"/>
  <c r="D64"/>
  <c r="C64"/>
  <c r="L6" i="19"/>
  <c r="E64" i="17" s="1"/>
  <c r="H18" i="19"/>
  <c r="I18" s="1"/>
  <c r="H14"/>
  <c r="I14" s="1"/>
  <c r="H15"/>
  <c r="I15" s="1"/>
  <c r="H16"/>
  <c r="I16" s="1"/>
  <c r="H13"/>
  <c r="H9"/>
  <c r="H10"/>
  <c r="H8"/>
  <c r="D27" i="17"/>
  <c r="C27"/>
  <c r="L26" i="15"/>
  <c r="E27" i="17" s="1"/>
  <c r="M6" i="22" l="1"/>
  <c r="F23" i="17" s="1"/>
  <c r="F65"/>
  <c r="I13" i="19"/>
  <c r="J64" i="17" s="1"/>
  <c r="I13" i="22"/>
  <c r="O6" s="1"/>
  <c r="H64" i="17"/>
  <c r="L22"/>
  <c r="M22" s="1"/>
  <c r="J22" l="1"/>
  <c r="M28"/>
  <c r="M29"/>
  <c r="D26"/>
  <c r="D28"/>
  <c r="D29"/>
  <c r="C29"/>
  <c r="C28"/>
  <c r="C26"/>
  <c r="L6" i="15"/>
  <c r="E26" i="17" s="1"/>
  <c r="E29"/>
  <c r="L21" i="15"/>
  <c r="E28" i="17" s="1"/>
  <c r="M26" l="1"/>
  <c r="I27" i="15"/>
  <c r="I23"/>
  <c r="I15"/>
  <c r="I16"/>
  <c r="I17"/>
  <c r="I22" i="21"/>
  <c r="D26" i="3"/>
  <c r="D31" i="21"/>
  <c r="D20" i="2"/>
  <c r="D63" i="17"/>
  <c r="D62"/>
  <c r="D61"/>
  <c r="D57"/>
  <c r="C63"/>
  <c r="C62"/>
  <c r="C61"/>
  <c r="C57"/>
  <c r="L21" i="20"/>
  <c r="E63" i="17" s="1"/>
  <c r="L13" i="20"/>
  <c r="E61" i="17" s="1"/>
  <c r="L6" i="20"/>
  <c r="E57" i="17" s="1"/>
  <c r="I15" i="20"/>
  <c r="F61" i="17"/>
  <c r="I22" i="20"/>
  <c r="I14"/>
  <c r="H23"/>
  <c r="H9"/>
  <c r="H10"/>
  <c r="H11"/>
  <c r="H8"/>
  <c r="N6" s="1"/>
  <c r="M57" i="17" l="1"/>
  <c r="F63"/>
  <c r="F29"/>
  <c r="H26"/>
  <c r="I23" i="20"/>
  <c r="J57" i="17" s="1"/>
  <c r="H57"/>
  <c r="I14" i="15"/>
  <c r="F28" i="17"/>
  <c r="M56"/>
  <c r="I13" i="21"/>
  <c r="I30"/>
  <c r="H28"/>
  <c r="I28" s="1"/>
  <c r="I14"/>
  <c r="I16"/>
  <c r="I17"/>
  <c r="I19"/>
  <c r="I21"/>
  <c r="H9"/>
  <c r="D55" i="17"/>
  <c r="D56" s="1"/>
  <c r="C55"/>
  <c r="C56" s="1"/>
  <c r="D15"/>
  <c r="L15" s="1"/>
  <c r="M15" s="1"/>
  <c r="C15"/>
  <c r="I11" i="12"/>
  <c r="H15" i="17"/>
  <c r="F16"/>
  <c r="L55" l="1"/>
  <c r="M55" s="1"/>
  <c r="J26"/>
  <c r="I15" i="21"/>
  <c r="J15" i="17"/>
  <c r="E15"/>
  <c r="E16"/>
  <c r="I13" i="12"/>
  <c r="O6" s="1"/>
  <c r="I23" i="3"/>
  <c r="I10" i="13"/>
  <c r="M17" i="5" l="1"/>
  <c r="H14"/>
  <c r="I15"/>
  <c r="I19"/>
  <c r="I20"/>
  <c r="I21"/>
  <c r="I18"/>
  <c r="I27"/>
  <c r="I25"/>
  <c r="H26"/>
  <c r="I26" s="1"/>
  <c r="H27"/>
  <c r="I28"/>
  <c r="I42" i="1"/>
  <c r="I41"/>
  <c r="H40"/>
  <c r="H36"/>
  <c r="I36" s="1"/>
  <c r="H37"/>
  <c r="I37" s="1"/>
  <c r="H35"/>
  <c r="I35" s="1"/>
  <c r="H15"/>
  <c r="I15" s="1"/>
  <c r="H16"/>
  <c r="I16" s="1"/>
  <c r="H17"/>
  <c r="I17" s="1"/>
  <c r="I18"/>
  <c r="H19"/>
  <c r="I19" s="1"/>
  <c r="H20"/>
  <c r="I20" s="1"/>
  <c r="H21"/>
  <c r="I21" s="1"/>
  <c r="H22"/>
  <c r="I22" s="1"/>
  <c r="H23"/>
  <c r="I23" s="1"/>
  <c r="I24"/>
  <c r="H25"/>
  <c r="I25" s="1"/>
  <c r="H26"/>
  <c r="I26" s="1"/>
  <c r="H27"/>
  <c r="I27" s="1"/>
  <c r="H28"/>
  <c r="I28" s="1"/>
  <c r="I29"/>
  <c r="H30"/>
  <c r="I30" s="1"/>
  <c r="H31"/>
  <c r="I31" s="1"/>
  <c r="H14"/>
  <c r="I14" s="1"/>
  <c r="H11"/>
  <c r="D7" i="17"/>
  <c r="D8"/>
  <c r="D9"/>
  <c r="E9"/>
  <c r="D10"/>
  <c r="C10"/>
  <c r="C9"/>
  <c r="C8"/>
  <c r="D12"/>
  <c r="D13"/>
  <c r="D14"/>
  <c r="C14"/>
  <c r="C13"/>
  <c r="C12"/>
  <c r="C11"/>
  <c r="M19" i="10"/>
  <c r="I16"/>
  <c r="I15"/>
  <c r="I21"/>
  <c r="I20"/>
  <c r="I25"/>
  <c r="I26"/>
  <c r="I27"/>
  <c r="I28"/>
  <c r="I24"/>
  <c r="I34"/>
  <c r="H35"/>
  <c r="I35" s="1"/>
  <c r="I36"/>
  <c r="H37"/>
  <c r="I37" s="1"/>
  <c r="H12"/>
  <c r="I12" i="8"/>
  <c r="I20"/>
  <c r="H14"/>
  <c r="D17" i="17"/>
  <c r="D18"/>
  <c r="D19"/>
  <c r="D20"/>
  <c r="D21"/>
  <c r="C21"/>
  <c r="C20"/>
  <c r="C19"/>
  <c r="C18"/>
  <c r="C17"/>
  <c r="D24"/>
  <c r="L24" s="1"/>
  <c r="M24" s="1"/>
  <c r="C24"/>
  <c r="C25" s="1"/>
  <c r="D66"/>
  <c r="D67" s="1"/>
  <c r="L66" s="1"/>
  <c r="M66" s="1"/>
  <c r="C66"/>
  <c r="C67" s="1"/>
  <c r="D52"/>
  <c r="D53"/>
  <c r="D54"/>
  <c r="C54"/>
  <c r="C53"/>
  <c r="C52"/>
  <c r="D47"/>
  <c r="D48"/>
  <c r="D49"/>
  <c r="D50"/>
  <c r="D51"/>
  <c r="C51"/>
  <c r="C50"/>
  <c r="C49"/>
  <c r="C48"/>
  <c r="C47"/>
  <c r="D45"/>
  <c r="D46" s="1"/>
  <c r="L45" s="1"/>
  <c r="M45" s="1"/>
  <c r="C45"/>
  <c r="C46" s="1"/>
  <c r="D41"/>
  <c r="D42"/>
  <c r="D43"/>
  <c r="D44"/>
  <c r="C44"/>
  <c r="C43"/>
  <c r="C42"/>
  <c r="C41"/>
  <c r="D40"/>
  <c r="D37"/>
  <c r="D36"/>
  <c r="L35" s="1"/>
  <c r="D35"/>
  <c r="C40"/>
  <c r="C37"/>
  <c r="C36"/>
  <c r="C35"/>
  <c r="D34"/>
  <c r="C34"/>
  <c r="D33"/>
  <c r="C33"/>
  <c r="D32"/>
  <c r="C32"/>
  <c r="D31"/>
  <c r="C31"/>
  <c r="D30"/>
  <c r="C30"/>
  <c r="I31" i="9"/>
  <c r="I30"/>
  <c r="I27"/>
  <c r="I28"/>
  <c r="H23"/>
  <c r="H21"/>
  <c r="H20"/>
  <c r="I20" s="1"/>
  <c r="I17"/>
  <c r="I16"/>
  <c r="H13"/>
  <c r="M32" i="16"/>
  <c r="F40" i="17" s="1"/>
  <c r="I45" i="16"/>
  <c r="I49"/>
  <c r="I51"/>
  <c r="I53"/>
  <c r="I59"/>
  <c r="I57"/>
  <c r="I55"/>
  <c r="I42"/>
  <c r="I38"/>
  <c r="I34"/>
  <c r="I33"/>
  <c r="H22"/>
  <c r="I22" s="1"/>
  <c r="H23"/>
  <c r="I23" s="1"/>
  <c r="H25"/>
  <c r="I25" s="1"/>
  <c r="H26"/>
  <c r="I26" s="1"/>
  <c r="H27"/>
  <c r="I27" s="1"/>
  <c r="H21"/>
  <c r="H13"/>
  <c r="I13" s="1"/>
  <c r="H12"/>
  <c r="I12" s="1"/>
  <c r="H8"/>
  <c r="I24" i="14"/>
  <c r="H24"/>
  <c r="I19"/>
  <c r="H18"/>
  <c r="I18" s="1"/>
  <c r="H20"/>
  <c r="I20" s="1"/>
  <c r="H17"/>
  <c r="H12"/>
  <c r="I12" s="1"/>
  <c r="H13"/>
  <c r="H14"/>
  <c r="I14" s="1"/>
  <c r="H11"/>
  <c r="H8"/>
  <c r="N6" s="1"/>
  <c r="F51" i="17"/>
  <c r="E47"/>
  <c r="I33" i="7"/>
  <c r="I31"/>
  <c r="H28"/>
  <c r="H13"/>
  <c r="I14"/>
  <c r="M53" i="17"/>
  <c r="F53"/>
  <c r="I19" i="2"/>
  <c r="O6" s="1"/>
  <c r="I14"/>
  <c r="I13"/>
  <c r="H66" i="17"/>
  <c r="I22" i="3"/>
  <c r="I19"/>
  <c r="I17"/>
  <c r="H20"/>
  <c r="O8" s="1"/>
  <c r="L52" i="17" l="1"/>
  <c r="L47"/>
  <c r="M47" s="1"/>
  <c r="H35"/>
  <c r="N6" i="16"/>
  <c r="F33" i="17"/>
  <c r="F31"/>
  <c r="F32"/>
  <c r="H17"/>
  <c r="M23" i="5"/>
  <c r="M7" i="17"/>
  <c r="I26" i="9"/>
  <c r="F67" i="17"/>
  <c r="I13" i="7"/>
  <c r="M11"/>
  <c r="F49" i="17" s="1"/>
  <c r="I14" i="5"/>
  <c r="I26" i="7"/>
  <c r="F50" i="17"/>
  <c r="I21" i="9"/>
  <c r="I24" i="5"/>
  <c r="O7" s="1"/>
  <c r="J7" i="17" s="1"/>
  <c r="H30"/>
  <c r="I32" i="10"/>
  <c r="J17" i="17" s="1"/>
  <c r="M31" i="10"/>
  <c r="J52" i="17"/>
  <c r="I20" i="3"/>
  <c r="J66" i="17" s="1"/>
  <c r="H52"/>
  <c r="I11" i="14"/>
  <c r="I17"/>
  <c r="F38" i="17"/>
  <c r="M35"/>
  <c r="L41"/>
  <c r="M41" s="1"/>
  <c r="M18" i="2"/>
  <c r="F54" i="17" s="1"/>
  <c r="H47"/>
  <c r="I13" i="14"/>
  <c r="F36" i="17"/>
  <c r="I21" i="16"/>
  <c r="M10"/>
  <c r="F37" i="17" s="1"/>
  <c r="F34"/>
  <c r="I13" i="9"/>
  <c r="D25" i="17"/>
  <c r="I14" i="8"/>
  <c r="L11" i="17"/>
  <c r="M11" s="1"/>
  <c r="I40" i="1"/>
  <c r="J30" i="17" l="1"/>
  <c r="J24"/>
  <c r="J35"/>
  <c r="H55"/>
  <c r="L6" i="21"/>
  <c r="E55" i="17" s="1"/>
  <c r="E56" s="1"/>
  <c r="I25" i="21" l="1"/>
  <c r="F56" i="17"/>
  <c r="H45"/>
  <c r="L6" i="13"/>
  <c r="E45" i="17" s="1"/>
  <c r="E46" s="1"/>
  <c r="L17"/>
  <c r="M17" s="1"/>
  <c r="J55" l="1"/>
  <c r="J45"/>
  <c r="F46"/>
  <c r="F19"/>
  <c r="L31" i="10"/>
  <c r="E21" i="17" s="1"/>
  <c r="L23" i="10"/>
  <c r="E20" i="17" s="1"/>
  <c r="L19" i="10"/>
  <c r="E19" i="17" s="1"/>
  <c r="L14" i="10"/>
  <c r="E18" i="17" s="1"/>
  <c r="E17"/>
  <c r="F21" l="1"/>
  <c r="F20"/>
  <c r="M54" l="1"/>
  <c r="M52"/>
  <c r="M49"/>
  <c r="M50"/>
  <c r="M51"/>
  <c r="M43"/>
  <c r="M44"/>
  <c r="M42"/>
  <c r="L13" i="1" l="1"/>
  <c r="E12" i="17" s="1"/>
  <c r="F44" l="1"/>
  <c r="F42"/>
  <c r="F43"/>
  <c r="L23" i="14"/>
  <c r="E44" i="17" s="1"/>
  <c r="L16" i="14"/>
  <c r="E43" i="17" s="1"/>
  <c r="L10" i="14"/>
  <c r="E42" i="17" s="1"/>
  <c r="E41"/>
  <c r="H41"/>
  <c r="F10"/>
  <c r="F9"/>
  <c r="H11"/>
  <c r="F14"/>
  <c r="F13"/>
  <c r="F12"/>
  <c r="J41" l="1"/>
  <c r="M32" l="1"/>
  <c r="M33"/>
  <c r="M34"/>
  <c r="M31"/>
  <c r="E36"/>
  <c r="E40"/>
  <c r="L10" i="16"/>
  <c r="E37" i="17" s="1"/>
  <c r="E24" l="1"/>
  <c r="E25" s="1"/>
  <c r="F25"/>
  <c r="H24" l="1"/>
  <c r="L23" i="5"/>
  <c r="E10" i="17" s="1"/>
  <c r="L13" i="5"/>
  <c r="E8" i="17" s="1"/>
  <c r="E7"/>
  <c r="L24" i="9"/>
  <c r="E33" i="17" s="1"/>
  <c r="L18" i="9"/>
  <c r="E32" i="17" s="1"/>
  <c r="L14" i="9"/>
  <c r="E34" i="17" s="1"/>
  <c r="L11" i="9"/>
  <c r="E31" i="17" s="1"/>
  <c r="E30"/>
  <c r="E48" l="1"/>
  <c r="L30" i="7"/>
  <c r="L23"/>
  <c r="E50" i="17" s="1"/>
  <c r="L11" i="7"/>
  <c r="E49" i="17" s="1"/>
  <c r="L39" i="1"/>
  <c r="E14" i="17" s="1"/>
  <c r="L34" i="1"/>
  <c r="E13" i="17" s="1"/>
  <c r="E11"/>
  <c r="J47" l="1"/>
  <c r="J11"/>
  <c r="L18" i="2"/>
  <c r="E54" i="17" s="1"/>
  <c r="L12" i="2"/>
  <c r="E53" i="17" s="1"/>
  <c r="L6" i="2"/>
  <c r="E52" i="17" s="1"/>
  <c r="L8" i="3"/>
  <c r="E66" i="17" s="1"/>
  <c r="E67" s="1"/>
</calcChain>
</file>

<file path=xl/comments1.xml><?xml version="1.0" encoding="utf-8"?>
<comments xmlns="http://schemas.openxmlformats.org/spreadsheetml/2006/main">
  <authors>
    <author>buroyakovatk</author>
  </authors>
  <commentList>
    <comment ref="D45" authorId="0">
      <text>
        <r>
          <rPr>
            <b/>
            <sz val="9"/>
            <color indexed="81"/>
            <rFont val="Tahoma"/>
            <family val="2"/>
            <charset val="204"/>
          </rPr>
          <t>buroyakovatk:</t>
        </r>
        <r>
          <rPr>
            <sz val="9"/>
            <color indexed="81"/>
            <rFont val="Tahoma"/>
            <family val="2"/>
            <charset val="204"/>
          </rPr>
          <t xml:space="preserve">
не планировался показатель
</t>
        </r>
      </text>
    </comment>
  </commentList>
</comments>
</file>

<file path=xl/sharedStrings.xml><?xml version="1.0" encoding="utf-8"?>
<sst xmlns="http://schemas.openxmlformats.org/spreadsheetml/2006/main" count="2132" uniqueCount="651">
  <si>
    <t>%</t>
  </si>
  <si>
    <t>№ п/п</t>
  </si>
  <si>
    <t xml:space="preserve">Цели, задачи, показатели </t>
  </si>
  <si>
    <t>Ед. измерения</t>
  </si>
  <si>
    <t>план</t>
  </si>
  <si>
    <t>факт</t>
  </si>
  <si>
    <t>% исполн.</t>
  </si>
  <si>
    <t>Цель:Улучшение условий охраны труда, снижение уровня производственного травматизма и профессиональной заболеваемости в муниципальных учреждениях Эвенкийского муниципального района</t>
  </si>
  <si>
    <t>Численность пострадавших в результате несчастных случаев со смертельным исходом.</t>
  </si>
  <si>
    <t>чел.</t>
  </si>
  <si>
    <t>Численность пострадавших в результате несчастных случаев с утратой трудоспособности на 1 рабочий день и более.</t>
  </si>
  <si>
    <t>Удельный вес рабочих мест, в отношении которых проведена специальная оценка условий труда, в общем количестве рабочих мест</t>
  </si>
  <si>
    <t>Количество рабочих мест, на которых улучшены условия труда по результатам специальной оценки условий труда</t>
  </si>
  <si>
    <t>Ед.</t>
  </si>
  <si>
    <t>Удельный вес работников, занятых во вредных и (или) опасных условиях труда, в общей численности работников по результатам специальной оценки условий труда.</t>
  </si>
  <si>
    <t>Задача 1. Правовое обеспечение охраны труда, совершенствование нормативно-правовой базы ЭМР в области охраны труда</t>
  </si>
  <si>
    <t>1.1</t>
  </si>
  <si>
    <t>Нормативно-правовые акты муниципальных учреждений в области охраны труда соответствующие трудовому законодательству Российской Федерации</t>
  </si>
  <si>
    <t>Задача 2. Реализация мер, направленных на улучшение условий труда работников, снижение уровня производственного травматизма и профессиональной заболеваемости</t>
  </si>
  <si>
    <t>2.1</t>
  </si>
  <si>
    <t>Количество рабочих мест, в отношении которых проведена специальная оценка условий труда</t>
  </si>
  <si>
    <t>2.2.</t>
  </si>
  <si>
    <t xml:space="preserve">Уровень обеспеченности работников Администрации ЭМР, занятых на работах с вредными или опасными условиями труда, а также на работах, производимых в особых температурных и климатических условиях или связанных с загрязнением, специальной одеждой, специальной обувью и другими средствами индивидуальной защиты </t>
  </si>
  <si>
    <t>3.1</t>
  </si>
  <si>
    <t>3.2</t>
  </si>
  <si>
    <t>Количество специалистов по охране труда прошедших профессиональную подготовку</t>
  </si>
  <si>
    <t>Чел.</t>
  </si>
  <si>
    <t>Задача 4. Информационное обеспечение и пропаганда охраны труда</t>
  </si>
  <si>
    <t>4.1</t>
  </si>
  <si>
    <t>Проведение семинаров-совещаний, выставок,             конкурсов</t>
  </si>
  <si>
    <r>
      <t xml:space="preserve">Задача 3. </t>
    </r>
    <r>
      <rPr>
        <b/>
        <sz val="10"/>
        <color theme="1"/>
        <rFont val="Times New Roman"/>
        <family val="1"/>
        <charset val="204"/>
      </rPr>
      <t>Организация обучения и профессиональная подготовка работников муниципальных учреждений в области охраны труда</t>
    </r>
  </si>
  <si>
    <t>х</t>
  </si>
  <si>
    <t>Муниципальная программа «Улучшение условий труда в муниципальных учреждениях Эвенкийского муниципального района»</t>
  </si>
  <si>
    <t>Цель 1: Создание условий для сохранения традиционныго образа жизни коренных малочисленных народов Севера, проживающих на территории Эвенкийского муниципального района</t>
  </si>
  <si>
    <t>Удельный вес лиц, ведущих традиционный образ жизни, от общей численности коренных малочисленных народов Красноярского края, проживающих в местах традиционного проживания коренных малочисленных народов Красноярского края</t>
  </si>
  <si>
    <t>процент</t>
  </si>
  <si>
    <t>Количество социально значимых мероприятий (профессиональных и национальных праздников), проведенных в местах традиционного проживания коренных малочисленных народов Красноярского края</t>
  </si>
  <si>
    <t>мероприятие</t>
  </si>
  <si>
    <t>Количество лиц, получивших впервые начальное профессиональное, среднее профессиональное или высшее профессиональное образование по очной форме обучения</t>
  </si>
  <si>
    <t>человек</t>
  </si>
  <si>
    <t>Задача 1.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в местах традиционного проживания и традиционной хозяйственной деятельности коренных малочисленных народов Севера; комплексное решение проблем национально-культурного развития, повышение социальной защищенности малочисленных народов Севера,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и защиты их исконной среды обитания</t>
  </si>
  <si>
    <t>Подпрограмма 1. 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</t>
  </si>
  <si>
    <t xml:space="preserve">человек                </t>
  </si>
  <si>
    <t xml:space="preserve">Доля лиц из числа коренных малочисленных народов Российской Федерации, проживающих на территории Красноярского края, и лиц, имеющих право на получение мер государственной поддержки, получивших меры государственной поддержки, от общего числа лиц, обратившихся и имеющих право на получение мер государственной поддержки </t>
  </si>
  <si>
    <t xml:space="preserve">процент </t>
  </si>
  <si>
    <t>Цель 2: Обеспечение выполнения надлежащим образом отдельных государственных полномочий по решению вопросов поддержки коренных малочисленных народов Севера.</t>
  </si>
  <si>
    <t>Удовлетворенность получателей мер государственной поддержки качеством предоставления государственных услуг</t>
  </si>
  <si>
    <t>балл</t>
  </si>
  <si>
    <t>Задача 2.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</si>
  <si>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2. Обеспечение реализации муниципальной программы и прочие мероприятия</t>
  </si>
  <si>
    <t>Доля исполненных бюджетных ассигнований, предусмотренных в программном виде</t>
  </si>
  <si>
    <t xml:space="preserve"> процент </t>
  </si>
  <si>
    <t>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</si>
  <si>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Цель: Обеспечение высокого качества образования, государственная поддержка детей-сирот,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</si>
  <si>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</si>
  <si>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Эвенкийского муниципального района (с учетом групп кратковременного пребывания)</t>
  </si>
  <si>
    <t>Доля выпускников государственных (муниципальных) общеобразовательных организаций, не сдавших единый государственный экзамен, в общей численности выпускников государственных (муниципальных) общеобразовательных организаций</t>
  </si>
  <si>
    <t>Задача 1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период;</t>
  </si>
  <si>
    <t>Подпрограмма 1  «Развитие дошкольного, общего и дополнительного образования детей»</t>
  </si>
  <si>
    <t>1.1.</t>
  </si>
  <si>
    <t>1.2.</t>
  </si>
  <si>
    <t>Обеспеченность детей дошкольного возраста местами в дошкольных образовательных учреждениях (количество мест на 1000 детей)</t>
  </si>
  <si>
    <t>1.3.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</si>
  <si>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ЭМР</t>
  </si>
  <si>
    <t>1.4.</t>
  </si>
  <si>
    <t>Удельный вес воспитанников дошкольных образовательных организаций, расположенных на территории ЭМР,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 ЭМР</t>
  </si>
  <si>
    <t>1.5.</t>
  </si>
  <si>
    <t xml:space="preserve">Доля государственных (муниципальных)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государственных (муниципальных) образовательных организаций, реализующих программы общего образования 
</t>
  </si>
  <si>
    <t>1.6.</t>
  </si>
  <si>
    <t xml:space="preserve">Доля государственных (муниципальных) образовательных организаций, реализующих программы общего образования, имеющих физкультурный зал, в общей численности государственных (муниципальных) образовательных организаций, реализующих программы общего образования </t>
  </si>
  <si>
    <t>1.7.</t>
  </si>
  <si>
    <t>Доля общеобразовательных учреждений (с числом обучающихся более 50), в которых действуют управляющие советы</t>
  </si>
  <si>
    <t>1.8.</t>
  </si>
  <si>
    <t>Доля обучающихся в государственных (муниципальных) общеобразовательных организациях, занимающихся во вторую (третью) смену, в общей численности обучающихся в государственных (муниципальных)  общеобразовательных организаций</t>
  </si>
  <si>
    <t>1.9.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</si>
  <si>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</si>
  <si>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1.10.</t>
  </si>
  <si>
    <t>Доля детей с ограниченными возможностями здоровья и детей-инвалидов, получающих качественное общее образование, от общей численности детей с ограниченными возможностями здоровья и детей-инвалидов школьного возраста</t>
  </si>
  <si>
    <t>1.11.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</si>
  <si>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</si>
  <si>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1.12.</t>
  </si>
  <si>
    <t>1.13.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</si>
  <si>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</si>
  <si>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>1.14.</t>
  </si>
  <si>
    <t>Увеличение числа детей, получивших возможность участия в конкурсах, олимпиадах, соревнованиях, интенсивных  школах за пределами Эвенкийского муниципального района</t>
  </si>
  <si>
    <t>1.15.</t>
  </si>
  <si>
    <t>1.16.</t>
  </si>
  <si>
    <t>Доля оздоровленных детей школьного возраста</t>
  </si>
  <si>
    <t>1.17.</t>
  </si>
  <si>
    <t>Доля подростков, состоящих на внутришкольном учете, от общей численности обучающихся</t>
  </si>
  <si>
    <t>1.18.</t>
  </si>
  <si>
    <t>Доля подростков, состоящих на учете в КДН и ЗП администрации ЭМР, от общей численности обучающихся</t>
  </si>
  <si>
    <t>1.19.</t>
  </si>
  <si>
    <t>Увеличение числа детей охваченных профилактическими мероприятиями</t>
  </si>
  <si>
    <t>Задача 2 Создание условий для эффективного управления отраслью;</t>
  </si>
  <si>
    <t>Подпрограмма 2 «Обеспечение реализации муниципальной программы и прочие мероприятия»</t>
  </si>
  <si>
    <t>2.1.</t>
  </si>
  <si>
    <r>
      <t>Соблюдение сроков предоставления отчетности, запросов</t>
    </r>
    <r>
      <rPr>
        <i/>
        <sz val="10"/>
        <color indexed="36"/>
        <rFont val="Times New Roman"/>
        <family val="1"/>
        <charset val="204"/>
      </rPr>
      <t xml:space="preserve">. </t>
    </r>
  </si>
  <si>
    <t>Своевременность утверждения смет финансово-хозяйственной деятельности подведомственных учреждений на текущий финансовый год и плановый период в соответствии с установленными сроками администрации Эвенкийского муниципального района.</t>
  </si>
  <si>
    <t>2.3.</t>
  </si>
  <si>
    <t>Своевременное доведение Главным распорядителем лимитов бюджетных обязательств до подведомственных учреждений, предусмотренных бюджетом Эвенкийского муниципального района.</t>
  </si>
  <si>
    <t>Задача 3 Оказание государственной поддержки детям-сиротам и детям, оставшимся без попечения родителей, а также лицам из их числа</t>
  </si>
  <si>
    <t>3.1.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</si>
  <si>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</si>
  <si>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>3.2.</t>
  </si>
  <si>
    <t>3.3.</t>
  </si>
  <si>
    <t>Муниципальная программа "Развитие образования Эвенкийского муниципального района"</t>
  </si>
  <si>
    <t>Финансирование</t>
  </si>
  <si>
    <t>Достижение целевых показателей и показателей результативности</t>
  </si>
  <si>
    <t>Подпрограмма 3 «Государственная поддержка детей-сирот»</t>
  </si>
  <si>
    <t>Индекс производства продукции сельского хозяйства в хозяйствах населения (в сопоставимых ценах) к предыдущему году</t>
  </si>
  <si>
    <t>Увеличение численности населения (владельцы личных подсобных хозяйств), занятого производством сельскохозяйственной продукции для удовлетворения собственных нужд и реализации излишков бюджетным учреждениям и населению района</t>
  </si>
  <si>
    <t>Задача 1. Поддержка малых форм хозяйствования на селе и повышение уровня доходов сельского населения</t>
  </si>
  <si>
    <t>Подпрограмма 1. Поддержка малых форм хозяйствования</t>
  </si>
  <si>
    <t xml:space="preserve">Поголовье сельскохозяйственных животных </t>
  </si>
  <si>
    <t>гол</t>
  </si>
  <si>
    <t>крупный рогатый скот</t>
  </si>
  <si>
    <t>свиньи</t>
  </si>
  <si>
    <t>малый рогатый скот</t>
  </si>
  <si>
    <t>ед.</t>
  </si>
  <si>
    <t xml:space="preserve">Задача 2. Поддержка традиционных промыслов для повышения уровня и качества жизни сельского населения муниципального района, стимулирование развития переработки и реализации продукции традиционных промыслов, повышение занятости и доходов граждан, осуществляющих добычу продукции традиционных промыслов; </t>
  </si>
  <si>
    <t>Подпрограмма 2. Поддержка и развитие традиционных отраслей хозяйствования коренных малочисленных народов Севера</t>
  </si>
  <si>
    <t>2.1.1.</t>
  </si>
  <si>
    <t>Дикий северный олень</t>
  </si>
  <si>
    <t>тн</t>
  </si>
  <si>
    <t>2.1.2.</t>
  </si>
  <si>
    <t>Рыба</t>
  </si>
  <si>
    <t>тн.</t>
  </si>
  <si>
    <t>Количество предоставленных муниципальных услуг в рамках реализации муниципальной программы, не менее</t>
  </si>
  <si>
    <t>заявлений</t>
  </si>
  <si>
    <t>Задача 3.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</si>
  <si>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3. Обеспечение реализации муниципальной программы и прочие мероприятия</t>
  </si>
  <si>
    <t>гол.</t>
  </si>
  <si>
    <t>-</t>
  </si>
  <si>
    <t>Количество отловленных собак, не менее</t>
  </si>
  <si>
    <t>Отдельное мероприятие «Организация проведения мероприятий по отлову и  содержанию безнадзорных животных»</t>
  </si>
  <si>
    <t>Цель 1: Развитие эффективной транспортной инфраструктуры Эвенкийского муниципального района</t>
  </si>
  <si>
    <t>Муниципальная программа "Поддержка транспортной системы Эвенкийского муниципального района"</t>
  </si>
  <si>
    <t>Муниципальная программа "Развитие сельского хозяйства в Эвенкийском муниципальном районе"</t>
  </si>
  <si>
    <t>1.</t>
  </si>
  <si>
    <t xml:space="preserve">Протяженность зимних автомобильных дорог, работы по  устройству и содержанию которых выполняются в соответствии с требованиями
действующих нормативов.
</t>
  </si>
  <si>
    <t>км</t>
  </si>
  <si>
    <t>Протяженность автомобильных  дорог  общего пользования местного значения  сельских  поселений, работы по содержанию  которых  выполняются  в  соответствии  с  требованиями  нормативных  документов</t>
  </si>
  <si>
    <t>Удельный вес протяженности автомобильных дорог общего пользования сельских поселений, на которых производится комплекс работ по текущему ремонту, к общей протяженности улично-дорожной сети.</t>
  </si>
  <si>
    <t>Подпрограмма 1. Устройство и содержание автозимников Эвенкийского муниципального района.</t>
  </si>
  <si>
    <t>Задача 1: Развитие, модернизация и обеспечение сохранности сети зимних автомобильных дорог общего пользования Эвенкийского муниципального района и искусственных сооружений на них.</t>
  </si>
  <si>
    <t>Протяженность зимних автомобильных дорог общего пользования Эвенкийского муниципального района, на которых производится комплекс работ по устройству и  содержанию.</t>
  </si>
  <si>
    <t>Протяженность автомобильных дорог общего пользования местного значения сельских поселений, в отношении которых проведен ремонт.</t>
  </si>
  <si>
    <t>м</t>
  </si>
  <si>
    <t>шт.</t>
  </si>
  <si>
    <t>2.4.</t>
  </si>
  <si>
    <t>Подпрограмма 3. Обеспечение реализации муниципальной программы.</t>
  </si>
  <si>
    <t>Исполнение бюджетных ассигнований, предусмотренных подпрограммой «Устройство и содержание автозимников Эвенкийского муниципального района».</t>
  </si>
  <si>
    <t>Соблюдение сроков представления главным распорядителям годовой бюджетной отчетности.</t>
  </si>
  <si>
    <t>Цель 2. Повышение доступности транспортных услуг для населения и экономики Эвенкийского муниципального района.</t>
  </si>
  <si>
    <t>Подпрограмма 4. Обеспечение выполнения программы внутримуниципальных пассажирских перевозок в Эвенкийском муниципальном районе.</t>
  </si>
  <si>
    <t>4.1.</t>
  </si>
  <si>
    <t>Транспортная подвижность населения (количество рейсов/количество жителей).</t>
  </si>
  <si>
    <t>рейс/чел.</t>
  </si>
  <si>
    <t>4.2.</t>
  </si>
  <si>
    <t>Объем субсидий на 1 пассажира, руб.</t>
  </si>
  <si>
    <t>руб./чел.</t>
  </si>
  <si>
    <t>4.3.</t>
  </si>
  <si>
    <t>Процент оплаты от предельного тарифа.</t>
  </si>
  <si>
    <t>4.4.</t>
  </si>
  <si>
    <t>4.5.</t>
  </si>
  <si>
    <t>4.6.</t>
  </si>
  <si>
    <t xml:space="preserve">Цель: обеспечение долгосрочной сбалансированности и устойчивости бюджетов Эвенкийского муниципального района, повышение качества и прозрачности управления муниципальными финансами  </t>
  </si>
  <si>
    <t>Отношение фактического объема предоставленной финансовой помощи на выравнивание бюджетной обеспеченности бюджетам поселений к утвержденным плановым назначениям</t>
  </si>
  <si>
    <t>Доля расходов на обслуживание муниципального
долга в объеме расходов районного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Федерации, не более</t>
  </si>
  <si>
    <t>Доля расходов районного бюджета, формируемых в рамках муниципальных программ, не менее</t>
  </si>
  <si>
    <t>Задача 1: Обеспечение равных условий для устойчивого и эффективного исполнения расходных обязательств муниципальных образований, обеспечение сбалансированности местных бюджетов</t>
  </si>
  <si>
    <t>Подпрограмма 1.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Красноярского края</t>
  </si>
  <si>
    <t>Отсутствие в местных бюджетах просроченной кредиторской задолженности по выплате заработной платы с начислениями работникам бюджетной сферы и по исполнению обязательств перед гражданами</t>
  </si>
  <si>
    <t>тыс. руб.</t>
  </si>
  <si>
    <t>Задача 2: Эффективное управление муниципальным долгом Эвенкийского муниципального района</t>
  </si>
  <si>
    <t>Подпрограмма 2 .Управление муниципальным долгом Эвенкийского муниципального района</t>
  </si>
  <si>
    <t>Отношение муниципального долга Эвенкийского муниципального района к доходам районного бюджета без учета объема утвержденных безвозмездных поступлений, не более</t>
  </si>
  <si>
    <t>Отношение годовой суммы платежей на погашение и обслуживание муниципального долга к доходам районного бюджета, не более</t>
  </si>
  <si>
    <t>Доля расходов на обслуживание муниципального долга в объеме расходов районного бюджета, за исключением объема расходов, которые осуществляются за счет субвенций, предоставляемых из бюджетной системы РФ, не более</t>
  </si>
  <si>
    <t>Отсутствие просроченной кредиторской задолженности по долговым обязательствам ЭМР</t>
  </si>
  <si>
    <t xml:space="preserve">Задача 3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 районного бюджета  </t>
  </si>
  <si>
    <t xml:space="preserve">Подпрограмма 3 Обеспечение реализации муниципальной программы и прочие мероприятия </t>
  </si>
  <si>
    <t>Доля расходов районного бюджета, формируемых в рамках муниципальных программ Эвенкийского муниципального района, не менее</t>
  </si>
  <si>
    <t>Обеспечение исполнения расходных обязательств Эвенкийского муниципального района (за исключением безвозмездных поступлений), не менее</t>
  </si>
  <si>
    <t>Доля органов местного самоуправления Эвенкийского муниципального района, обеспеченных возможностью работы в информационной системе исполнения районного бюджета</t>
  </si>
  <si>
    <t>3.4.</t>
  </si>
  <si>
    <t>Доля полученных заключений на проекты решений в области бюджетной и налоговой политики</t>
  </si>
  <si>
    <t>3.5.</t>
  </si>
  <si>
    <t>Наполнение и поддержание в актуальном состоянии рубрики «Открытый бюджет» на официальном сайте Эвенкийского муниципального района, не менее 1 раза в квартал</t>
  </si>
  <si>
    <t>периодичность</t>
  </si>
  <si>
    <t>Муниципальная программа "Управление муниципальными финансами в Эвенкийском муниципальном районе"</t>
  </si>
  <si>
    <t>Муниципальная программа "Развитие физической культуры и спорта в Эвенкийском муниципальном район"</t>
  </si>
  <si>
    <t>Цель: Создание условий, способствующих повышению эффективности деятельности муниципальных учреждений и организаций, участвующих в развитии физической культуры и спорта, развитие и популяризация физической культуры и массового спорта для всех категорий и групп  населения, системное развитие видов спорта с обязательным определением основных приоритетных видов спорта</t>
  </si>
  <si>
    <t xml:space="preserve">Удельный вес населения Эвенкийского муниципального района, систематически занимающегося физической культурой и спортом </t>
  </si>
  <si>
    <t xml:space="preserve">Количество спортивных мероприятий на территории Эвенкийского муниципального района </t>
  </si>
  <si>
    <t>единиц</t>
  </si>
  <si>
    <t>Привлечение населения к сдачам нормативов ВФСК "ГТО"</t>
  </si>
  <si>
    <t>Задача 1    Развитие материально - технической базы учреждений физической культуры и спорта</t>
  </si>
  <si>
    <t>Доля приобретенного спортивного инвентаря и спортивной атрибутики</t>
  </si>
  <si>
    <t>Количество спортивных клубов по месту жительства</t>
  </si>
  <si>
    <t>2.2</t>
  </si>
  <si>
    <t>Количество спортивных мероприятий на территории Эвенкийского муниципального района</t>
  </si>
  <si>
    <t>Повышение квалификации специалистов в области адаптивной физической культуры и спорта инвалидов</t>
  </si>
  <si>
    <t>Количество инвалидов, систематически занимающихся физической культурой и спортом</t>
  </si>
  <si>
    <t>5.1</t>
  </si>
  <si>
    <t>суммарное значение весовых критериев</t>
  </si>
  <si>
    <t>Муниципальная программа "Эвенкия-информационный регион"</t>
  </si>
  <si>
    <t>Цель: Повышение качества жизни граждан, совершенствование системы муниципального управления на основе использования информационных и телекоммуникационных технологий</t>
  </si>
  <si>
    <t>Сокращение времени на рассмотрение обращений граждан и на осуществление взаимодействия Администрации района с организациями, учреждениями, а также повышение качества контроля за исполнением документов за счет внедрения системы электронного документооборота и делопроизводства</t>
  </si>
  <si>
    <t>Задача 1:  Повышение качества административно-управленческих процессов и оказания муниципальных услуг</t>
  </si>
  <si>
    <t>Подпрограмма 1. «Формирование электронного муниципалитета»</t>
  </si>
  <si>
    <t>Доля документов, поставленных на контроль от общего количества входящих документов</t>
  </si>
  <si>
    <t>Доля структурных подразделений и органов со статусом юридического лица Администрации ЭМР, подключенных к системе электронного документооборота, от общего числа структурных подразделений и органов со статусом юридического лица Администрации ЭМР, оказывающих муниципальные услуги</t>
  </si>
  <si>
    <t>Доля муниципальных образований, расположенных на территории ЭМР, подключенных к системе электронного документооборота, от общего числа муниципальных образований, расположенных на территории ЭМР</t>
  </si>
  <si>
    <t>Доля районных муниципальных организаций, расположенных на территории Эвенкийского муниципального района, подключенных к системе электронного документооборота, от общего числа районных муниципальных организаций, расположенных на территории Эвенкийского муниципального района</t>
  </si>
  <si>
    <t>Задача 2: Повышение эффективности работы органов местного управления и  уменьшение «цифрового неравенства» для жителей района</t>
  </si>
  <si>
    <t>Подпрограмма 2. «Модернизация и развитие информационной и телекоммуникационной инфраструктуры Эвенкийского муниципального района»</t>
  </si>
  <si>
    <t>Обновление компьютерной и офисной техники Администрации ЭМР, а так же структурных подразделений и органов со статусом юридического лица Администрации ЭМР</t>
  </si>
  <si>
    <t>Доля структурных подразделений и органов со статусом юридического лица Администрации Эвенкийского муниципального района имеющих доступ к информационно-правовым системам</t>
  </si>
  <si>
    <t>Количество малочисленных и труднодоступных населенных пунктов района, в которых созданы и поддерживаются условия для обеспечения жителей услугами связи (сеть WiFi), ранее не имевших этой возможности</t>
  </si>
  <si>
    <t>Задача 3: Обеспечение безопасности информационных систем.</t>
  </si>
  <si>
    <t>Подпрограмма 3. «Обеспечение информационной безопасности»</t>
  </si>
  <si>
    <t>Доля АРМ Администрации Эвенкийского муниципального района, оснащенных системой антивирусной защиты</t>
  </si>
  <si>
    <t>№</t>
  </si>
  <si>
    <t>Наименование МП (подпрограммы или отдельного мероприятия программы)</t>
  </si>
  <si>
    <t>Подпрограмма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Эвенкийского муниципального района»</t>
  </si>
  <si>
    <t>Подпрограмма «Обеспечение реализации муниципальной программы и прочие мероприятия»</t>
  </si>
  <si>
    <t>2</t>
  </si>
  <si>
    <t>Подпрограмма «Развитие дошкольного, общего и дополнительного образования детей»</t>
  </si>
  <si>
    <t>Подпрограмма "Обеспечение реализации муниципальной программы и прочие мероприятия"</t>
  </si>
  <si>
    <t>Подпрограмма «Государственная поддержка детей-сирот»</t>
  </si>
  <si>
    <t>3</t>
  </si>
  <si>
    <t>Муниципальная программа "Система социальной защиты населения Эвенкийского муниципального района"</t>
  </si>
  <si>
    <t>4</t>
  </si>
  <si>
    <t>Муниципальная программа "Культура Эвенкии"</t>
  </si>
  <si>
    <t>Подпрограмма «Сохранение культурного наследия»</t>
  </si>
  <si>
    <t>Подпрограмма «Развитие архивного дела в Эвенкийском муниципальном районе</t>
  </si>
  <si>
    <t>Подпрограмма «Поддержка искусства и народного творчества»</t>
  </si>
  <si>
    <t>Подпрограмма «Обеспечение условий реализации муниципальной программы и прочие мероприятия»</t>
  </si>
  <si>
    <t>5</t>
  </si>
  <si>
    <t>Муниципальная программа "Молодежь Эвенкии"</t>
  </si>
  <si>
    <t xml:space="preserve">Мероприятия в рамках муниципальной программы </t>
  </si>
  <si>
    <t>6</t>
  </si>
  <si>
    <t>7</t>
  </si>
  <si>
    <t>Муниципальная программа "Поддержка отраслей экономики Эвенкийского муниципального района"</t>
  </si>
  <si>
    <t>Подпрограмма «Поддержка предприятий торговли»</t>
  </si>
  <si>
    <t>8</t>
  </si>
  <si>
    <t>Подпрограмма "Устройство и содержание автозимников Эвенкийского муниципального района"</t>
  </si>
  <si>
    <t>Подпрограмма "Обеспечение реализации муниципальной программы"</t>
  </si>
  <si>
    <t>Подпрограмма «Обеспечение выполнения программы внутримуниципальных пассажирских перевозок в Эвенкийском муниципальном районе»</t>
  </si>
  <si>
    <t>Подпрограмма "Ремонт улично-дорожной сети сельских поселений Эвенкийского муниципального района"</t>
  </si>
  <si>
    <t>9</t>
  </si>
  <si>
    <t>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</si>
  <si>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Подпрограмма «Строительство, реконструкция, модернизация и капитальный ремонт объектов коммунальной инфраструктуры в Эвенкийском муниципальном районе»</t>
  </si>
  <si>
    <t>10</t>
  </si>
  <si>
    <t>Подпрограмма "Формирование электронного муниципалитета"</t>
  </si>
  <si>
    <t>Подпрограмма "Модернизация и развитие информационной и телекоммуникационной инфраструктуры Эвенкийского муниципального района"</t>
  </si>
  <si>
    <t>Подпрограмма "Обеспечение информационной безопасности"</t>
  </si>
  <si>
    <t>11</t>
  </si>
  <si>
    <t>Муниципальная программа "Территориальное планирование в Эвенкийском муниципальном районе"</t>
  </si>
  <si>
    <t>12</t>
  </si>
  <si>
    <t>Подпрограмма "Поддержка малых форм хозяйствования"</t>
  </si>
  <si>
    <t>Подпрограмма «Поддержка и развитие традиционных отраслей хозяйствования коренных малочисленных народов Севера»</t>
  </si>
  <si>
    <t>Подпрограмма "Обеспечение реализации муниципальной программы и прочие мероприятия"</t>
  </si>
  <si>
    <t>13</t>
  </si>
  <si>
    <t>Подпрограмма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</t>
  </si>
  <si>
    <t>14</t>
  </si>
  <si>
    <t>Муниципальная программа "Управление муниципальным имуществом Эвенкийского муниципального района"</t>
  </si>
  <si>
    <t>15</t>
  </si>
  <si>
    <t>Муниципальная программа "Улучшение жилищных условий жителей Эвенкийского муниципального района"</t>
  </si>
  <si>
    <t>Подпрограмма «Социальное развитие села на территории Эвенкийского муниципального района»</t>
  </si>
  <si>
    <t>Подпрограмма «Улучшение жилищных условий молодых семей и молодых специалистов в сельской местности Эвенкийского муниципального района»</t>
  </si>
  <si>
    <t>Подпрограмма «Обеспечение жильем молодых семей Эвенкийского муниципального района»</t>
  </si>
  <si>
    <t>16</t>
  </si>
  <si>
    <t>Муниципальная программа «Противодействие экстремизму и профилактика терроризма на территории Эвенкийского муниципального района»</t>
  </si>
  <si>
    <t>17</t>
  </si>
  <si>
    <t>Подпрограмма "Управление муниципальным долгом Эвенкийского муниципального района"</t>
  </si>
  <si>
    <t>Цель  повышение эксплуатационной надежности функционирования систем жзнеобеспечения населения.</t>
  </si>
  <si>
    <t>Уровень износа объектов коммунальной инфраструктуры</t>
  </si>
  <si>
    <t xml:space="preserve">Задача 1. Повышение эксплуатационной надежности функционирования систем жизнеобеспечения населения </t>
  </si>
  <si>
    <t>Подпрограмма 1 "Строительство, реконструкция, модернизация и капитальный ремонт объектов коммунальной инфраструктуры в Эвенкийском муниципальном районе"</t>
  </si>
  <si>
    <t>Снижение интегрального показателя аварийности инженерных сетей:</t>
  </si>
  <si>
    <t>теплоснабжение</t>
  </si>
  <si>
    <t xml:space="preserve">ед. </t>
  </si>
  <si>
    <t>водоснабжение</t>
  </si>
  <si>
    <t>водоотведение</t>
  </si>
  <si>
    <t>снижение потерь энергоресурсов и инженерных сетей</t>
  </si>
  <si>
    <t>до 15,00</t>
  </si>
  <si>
    <t>Задача 2. Формирование целостной и эффективной системы управления энергосбережением и повышением энергетической эффективности</t>
  </si>
  <si>
    <t>Подпрграмма 2 "Энергосбережение и повышение энергетической эффективности в Эвенкийском муницпальном районе"</t>
  </si>
  <si>
    <t>Доля объемов энергоресурсов, расчеты за которые осуществляются с использованием приборов учета ( в части многоквартирных домов - с использованием колективных (общедомовых) приборов учета), в общем объеме энергоресурсов, в том числе:</t>
  </si>
  <si>
    <t>электрической энергии</t>
  </si>
  <si>
    <t>воды</t>
  </si>
  <si>
    <t>тепловой энергии</t>
  </si>
  <si>
    <t>Доля объемов энергоресурсов, расчеты за которые осуществляются с использованием приборов учета в муниципальных учреждениях, в общем объеме энергоресурсов, потребляемых (используемых) в муниципальных учреждениях, где установка ПУ обязательна, согласно Федеральному закону № 261-ФЗ</t>
  </si>
  <si>
    <t>Задача 3. Снижение негативного воздействия отходов на окружающую среду и здоровья населения</t>
  </si>
  <si>
    <t>Подпрограмма 3 "Обращение с отходами на территории Эвенкийского муницпального района"</t>
  </si>
  <si>
    <t>Доля населенных пунктов, обеспеченных санкционированными местами размещения или обезвреживания отходов</t>
  </si>
  <si>
    <t>Задача 4. Создание условий для эффективного, ответственного управления финансовыми ресурсами в рамках выполнения установленных функций и полномочий</t>
  </si>
  <si>
    <t>Подпрограмма 4 "Обеспечение реализации муниципальной программы и прочие мероприятия"</t>
  </si>
  <si>
    <t>Доля своевременно утвержденных планов финансово -хозяйственной деятельности предприятий на текущий финансовый год</t>
  </si>
  <si>
    <t xml:space="preserve">Отдельные мероприятия </t>
  </si>
  <si>
    <t>Мероприятие № 2 "Компенсация части расходов граждан на оплату коммунальных услуг исполнителям коммунальных услуг"</t>
  </si>
  <si>
    <t>Количество теплоснабжающих и энергосбытовых организаций, которым предоставлена субсидия на финансирование (возмещение) затрат, возникших вследствии разницы между фактической стоимостью топлива и стоимостью топлива, учтенной в тарифах на тепловую и электрическую энергию</t>
  </si>
  <si>
    <t>ед</t>
  </si>
  <si>
    <t>Количество предприятий, которым возмещены транспортные расходы по доставке нефтепродуктов в районы Крайнего Севера и приравненных к ним местностям с ограниченнымисроками завоза грузов</t>
  </si>
  <si>
    <t xml:space="preserve">ед </t>
  </si>
  <si>
    <t>Количество организаций и физических лиц, которым предоставлена субсидия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</si>
  <si>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Количество предприятий, получивших субсидию на возмещение недополученных доходов в связи с оказанием населению, проживающему на территории Эвенкийского муниципального района услуг по отоплению частных надворных построек (бань)</t>
  </si>
  <si>
    <t xml:space="preserve">Количество приобретенных (реконструированных)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 </t>
  </si>
  <si>
    <t>Количество реализованных социально-значимых мероприятий</t>
  </si>
  <si>
    <t xml:space="preserve">Количество предприятий , получившиз субсидию на возмещение недополученных доходов в связи с оказанием населению, проживающему на территории Эвенкийского муниципального района услуг по развобру воды из системы отопления </t>
  </si>
  <si>
    <t>эффективная</t>
  </si>
  <si>
    <t>высокоэффективная</t>
  </si>
  <si>
    <t>8.1.</t>
  </si>
  <si>
    <t>8.2.</t>
  </si>
  <si>
    <t>8.3.</t>
  </si>
  <si>
    <t>8.4.</t>
  </si>
  <si>
    <t>Количество лиц из числа коренных малочисленных народов Российской Федерации, проживающих на территории Красноярского края и лиц, ведущих традиционный образ жизни коренных малочисленных народов Российской Федерации, проживающих на территории Красноярского края, получивших меры государственной поддержки и (или) участвующих в социально значимых мероприятиях , не менее</t>
  </si>
  <si>
    <t>Численность работников с установленным предварительным диагнозом профессионального заболевания по результатам проведения обязательных периодических медицинских осмотров, не более</t>
  </si>
  <si>
    <t>Охват обучением руководителей и специалистов по вопросам охраны и условий труда муниципальных учреждений, не менее</t>
  </si>
  <si>
    <t>среднеэффективная</t>
  </si>
  <si>
    <t>1.1.1</t>
  </si>
  <si>
    <t>1.1.2</t>
  </si>
  <si>
    <t>1.1.3</t>
  </si>
  <si>
    <t>Субвенция регионального бюджета на выполнение отдельных государственных полномочий по организации проведения мероприятий по отлову, учету, содержанию и иному обращению с безнадзорными домашними животными</t>
  </si>
  <si>
    <t>Мероприятия программы</t>
  </si>
  <si>
    <t>Отдельные мероприятия программы</t>
  </si>
  <si>
    <t>6.1.</t>
  </si>
  <si>
    <t>7.4.</t>
  </si>
  <si>
    <t>9.1</t>
  </si>
  <si>
    <t>9.2</t>
  </si>
  <si>
    <t>9.3</t>
  </si>
  <si>
    <t>10.1</t>
  </si>
  <si>
    <t>10.2.</t>
  </si>
  <si>
    <t>10.3.</t>
  </si>
  <si>
    <t>11.1.</t>
  </si>
  <si>
    <t>12.1</t>
  </si>
  <si>
    <t>12.2</t>
  </si>
  <si>
    <t>12.3</t>
  </si>
  <si>
    <t>12.4</t>
  </si>
  <si>
    <t>13.1</t>
  </si>
  <si>
    <t>13.2</t>
  </si>
  <si>
    <t>14.1</t>
  </si>
  <si>
    <t>15.1</t>
  </si>
  <si>
    <t>15.2</t>
  </si>
  <si>
    <t>15.3</t>
  </si>
  <si>
    <t>16.1</t>
  </si>
  <si>
    <t>17.1</t>
  </si>
  <si>
    <t xml:space="preserve">Цель программы: Создание условий для сохранения и развития культурного наследия и реализации культурного и духовного потенциала населения Эвенкии. </t>
  </si>
  <si>
    <t>Удельный вес населения, участвующего в платных культурно-досуговых мероприятиях, проводимых муниципальными учреждениями культуры</t>
  </si>
  <si>
    <t>Количество экземпляров новых поступлений в библиотечные фонды общедоступных библиотек на 1 тыс. человек населения, не менее</t>
  </si>
  <si>
    <t>экз.</t>
  </si>
  <si>
    <t xml:space="preserve">Доля представленных (во всех формах) зрителю музейных  предметов в общем количестве музейных предметов основного фонда </t>
  </si>
  <si>
    <t>Численность учащихся учреждений дополнительного образования детей в сфере «культура», не менее</t>
  </si>
  <si>
    <t xml:space="preserve">Задача 1. Сохранение и эффективное использование культурного наследия Эвенкийского муниципального района   </t>
  </si>
  <si>
    <t>Подпрограмма 1 «Сохранение культурного наследия»</t>
  </si>
  <si>
    <t>Книговыдача в муниципальных библиотеках, не менее</t>
  </si>
  <si>
    <t>тыс.экз.</t>
  </si>
  <si>
    <t>Посещаемость музейных учреждений, не менее</t>
  </si>
  <si>
    <t>Подпрограмма 2.  «Развитие архивного дела в Эвенкийском муниципальном районе»</t>
  </si>
  <si>
    <t>Доля хранящихся архивных документов в нормативных условиях, в общем количестве МКУ "Эвенкийский архив" ЭМР</t>
  </si>
  <si>
    <t xml:space="preserve">Доля оцифрованных заголовков единиц хранения (далее - дела), переведенных в электронный формат программного комплекса "Архивный фонд" (создание электронных описей), в общем количестве дел, хранящихся в МКУ "Эвенкийский архив" </t>
  </si>
  <si>
    <t>Задача 3. Обеспечение доступа граждан к культурным благам и участию в культурной  жизни</t>
  </si>
  <si>
    <t>Подпрограмма 3. Поддержка искусства и народного творчества</t>
  </si>
  <si>
    <t xml:space="preserve">Количество посетителей муниципальных учреждений культурно-досугового типа на 1 тыс. человек населения, не менее </t>
  </si>
  <si>
    <t xml:space="preserve"> чел.</t>
  </si>
  <si>
    <t>Число клубных формирований, не менее</t>
  </si>
  <si>
    <t>Число участников клубных формирований, не менее</t>
  </si>
  <si>
    <t>Число участников клубных формирований для детей в возрасте до 14 лет включительно , не менее</t>
  </si>
  <si>
    <t>Задача 4. Создание условий для устойчивого развития отрасли «культура»</t>
  </si>
  <si>
    <t>Подпрограмма 4. Обеспечение условий реализации муниципальной программы и прочие мероприятия</t>
  </si>
  <si>
    <t>Доля детей, привлекаемых к участию в творческих мероприятиях, в общем числе детей</t>
  </si>
  <si>
    <t>Количество специалистов, повысивших квалификацию, прошедших переподготовку, обученных на семинарах и других мероприятиях, не менее</t>
  </si>
  <si>
    <t xml:space="preserve">Количество библиографических записей 
в электронных каталогах муниципальных библиотек  </t>
  </si>
  <si>
    <t>тыс.ед</t>
  </si>
  <si>
    <t>Своевременность и качество  подготовленных  проектов нормативных правовых актов, обусловленных изменениями федерального и регионального законодательства</t>
  </si>
  <si>
    <t>баллы</t>
  </si>
  <si>
    <t xml:space="preserve">Уровень исполнения расходов главного распорядителя за счет средств районного бюджета </t>
  </si>
  <si>
    <t xml:space="preserve">Своевременность утверждения муниципальных заданий подведомственным главному распорядителю учреждениям на текущий финансовый год и плановый период </t>
  </si>
  <si>
    <t>Цель: обеспечение устойчивого развития сельских территорий, развития инженерной, транспортной и социальной инфраструктур, рациональное и эффективное использование территории, создание предпосылок для застройки и благоустройства территорий сельских поселений, сохранение и восстановление объектов историко-культурного наследия, обеспечение рационального природопользования и охраны окружающей природной среды в целях повышения качества и условий проживания населения Эвенкийского муниципального района</t>
  </si>
  <si>
    <t>1.2</t>
  </si>
  <si>
    <t xml:space="preserve">Цель: выработка и реализация муниципальной политики в области использования муниципального имущества, земель, расположенных на территории Эвенкийского муниципального района </t>
  </si>
  <si>
    <t>Количество объектов, на которые получены свидетельства о государственной регистрации права муниципальной собственности (за период):  здания, строения, нежилые помещения, объекты и сооружения инженерной, транспортной и социальной инфраструктуры, не завершенные строительством объекты, объекты жилищного фонда</t>
  </si>
  <si>
    <t xml:space="preserve"> Доходы бюджета района от приватизации муниципального имущества  </t>
  </si>
  <si>
    <t>тыс.руб.</t>
  </si>
  <si>
    <t xml:space="preserve">  Количество земельных участков, находящихся в муниципальной собственности</t>
  </si>
  <si>
    <t>Задача 1. Формирование и управление муниципальной собственностью</t>
  </si>
  <si>
    <t>здания, строения, сооружения, объекты инженерной, транспортной и социальной инфраструктуры, не завершенные строительством объекты</t>
  </si>
  <si>
    <t>жилые помещения</t>
  </si>
  <si>
    <t>удельный вес количества объектов, на которые зарегистрировано право муниципальной собственности, к общему количеству объектов, учтенных в Реестре муниципальной собственности</t>
  </si>
  <si>
    <t>количество объектов муниципального имущества, учтенных в Реестре муниципальной собственности, по разделу казна</t>
  </si>
  <si>
    <t>кв.м.</t>
  </si>
  <si>
    <t>Задача 2: . Обеспечение приватизации объектов муниципальной собственности</t>
  </si>
  <si>
    <t>Площадь нежилого фонда, подлежащая приватизации</t>
  </si>
  <si>
    <t>Задача 3. Проведение мероприятий по землеустройству и землепользованию</t>
  </si>
  <si>
    <t>Количество сформированных земельных участков, занимаемых объектами муниципальной собственности (за период)</t>
  </si>
  <si>
    <t>Количество оформленных в муниципальную собственность земельных участков (за период)</t>
  </si>
  <si>
    <t>Средний уровень достижения целевых показателей (Сцп)</t>
  </si>
  <si>
    <t>Индекс фактического достижения целевого показателя (Ицп), показателя результативности (Ипр)</t>
  </si>
  <si>
    <t>Впр*Ипр</t>
  </si>
  <si>
    <t>Средний уровень достижения  показателей результативности с учетом весовых критериев (Спр)</t>
  </si>
  <si>
    <t>Сцп</t>
  </si>
  <si>
    <t>Спр</t>
  </si>
  <si>
    <t>Весовой критерий показателя (Впр)</t>
  </si>
  <si>
    <t>Спрп,Спрм</t>
  </si>
  <si>
    <t>значение</t>
  </si>
  <si>
    <t>КСпрs</t>
  </si>
  <si>
    <t>Оэ</t>
  </si>
  <si>
    <t>Вывод об оценке эффективности</t>
  </si>
  <si>
    <t>% исп.</t>
  </si>
  <si>
    <t>Финансирование, тыс.руб.</t>
  </si>
  <si>
    <r>
      <t>баллы</t>
    </r>
    <r>
      <rPr>
        <vertAlign val="superscript"/>
        <sz val="10"/>
        <color theme="1"/>
        <rFont val="Times New Roman"/>
        <family val="1"/>
        <charset val="204"/>
      </rPr>
      <t>1</t>
    </r>
  </si>
  <si>
    <t>Средний уровень достижения  показателей результативности по мероприятиям программы (Спрм)</t>
  </si>
  <si>
    <t>Средний уровень достижения  показателей результативности по подпрограммам (Спрп)</t>
  </si>
  <si>
    <t>Средний уровень достижения  показателей результативности  мероприятиям программы (Спрм)</t>
  </si>
  <si>
    <t>Модернизация серверного и сетевого оборудования, не менее</t>
  </si>
  <si>
    <t>Средний уровень достижения  показателей результативности по подпрограммам (Спрп), по мероприятиям (Спрм)</t>
  </si>
  <si>
    <t>Доля исполненных бюджетных ассигнований, предусмотренных в программе, не менее</t>
  </si>
  <si>
    <t>Средний уровень достижения  показателей результативности по мероприятиям (Спрм)</t>
  </si>
  <si>
    <t xml:space="preserve">Доля оцифрованных заголовков единиц хранения, переведенных в электронный формат программного комплекса «Архивный фонд» (создание электронных описей), в общем количестве единиц хранения, хранящихся 
в  муниципальном  казенном учреждении «Эвенкийский архив» ЭМР Красноярского края </t>
  </si>
  <si>
    <t>Количество детей-сирот, детей, оставшихся без попечения родителей, а также лиц из их числа, которым необходимо приобрести жилые помещения в соответствии с соглашением о предоставлении субсидий из краевого бюджета бюджету района, не менее</t>
  </si>
  <si>
    <t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года), не менее</t>
  </si>
  <si>
    <t>Доля семей, улучшивших жилищные условия за счет получения социальных выплат (субсидий), к общему количеству семей, подавших заявления в программу</t>
  </si>
  <si>
    <t>Удельный вес введенной  площади жилья по отношению к общей площади жилого фонда</t>
  </si>
  <si>
    <t>Доля площади жилья, введенной за счет собственных и заемных средств в введенной площади жилья</t>
  </si>
  <si>
    <t xml:space="preserve">Доля семей,имеющих возможность улучшить жилищные условия с помощью собственных и заемных средств к общему количеству семей, состоящих на учете, нуждающихся в улучшении жилищных условий </t>
  </si>
  <si>
    <t>Подпрограмма 1. «Социальное развитие села на территории Эвенкийского муниципального района»</t>
  </si>
  <si>
    <t>Количество граждан проживающих в сельской местности, улучшивших жилищные условия</t>
  </si>
  <si>
    <t>семей</t>
  </si>
  <si>
    <t xml:space="preserve">Площадь строительства (приобретения) жилья гражданами - участниками Программы         </t>
  </si>
  <si>
    <t>м2</t>
  </si>
  <si>
    <t>Количество молодых семей и молодых специалистов улучшивших жилищные условия</t>
  </si>
  <si>
    <t xml:space="preserve">Площадь строительства (приобретения) жилья молодым семьям и специалистам программы         </t>
  </si>
  <si>
    <t xml:space="preserve">Подпрограмма 3. «Обеспечение жильем молодых семей в Эвенкийском муниципальном районе»   </t>
  </si>
  <si>
    <t>Доля молодых семей, улучшивших жилищные условия за счет получения социальных выплат к общему количеству молодых семей, состоящих на учете нуждающихся в улучшении жилищных условий</t>
  </si>
  <si>
    <t>Доля молодых семей, получивших свидетельства о выделении социальных выплат на приобретение или строительство жилья и реализовавших свое право  на улучшение жилищных условий за счет средств   социальной выплаты, в общем количестве молодых  семей, получивших свидетельства о выделении социальной выплаты на приобретение или строительство жилья, - претендентов на получение социальной выплаты в текущем году на конец планируемого года</t>
  </si>
  <si>
    <t>Доля учащихся учреждений дополнительного образования детей в сфере «культура», принимающих участие  в конкурсах, фестивалях, смотрах, выставках, конференциях, в том числе в международных, всероссийских, краевых, региональных и зональных, не менее</t>
  </si>
  <si>
    <t>Цель: Развитие и поддержка отраслей экономики района</t>
  </si>
  <si>
    <t>1</t>
  </si>
  <si>
    <t>Число субъектов малого и среднего предпринимательства в расчете на 10000 человек населения, в том числе по годам;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</si>
  <si>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</si>
  <si>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Розничный товарооборот</t>
  </si>
  <si>
    <t>тыс.руб</t>
  </si>
  <si>
    <t xml:space="preserve">Оборот общественного
питания
</t>
  </si>
  <si>
    <t>Задача 1: Создание благоприятных экономических условий для развития малого и среднего предпринимательства</t>
  </si>
  <si>
    <t>Подпрограмма 1  «Поддержка малого и среднего предпринимательства».</t>
  </si>
  <si>
    <t>количество   субъектов малого  и  среднего предпринимательства, получивших муниципальную поддержку</t>
  </si>
  <si>
    <t>объем  привлеченных инвестиций  в секторе малого  и  среднего предпринимательства</t>
  </si>
  <si>
    <t>млн.руб.</t>
  </si>
  <si>
    <t>количество субъектов малого и среднего предпринимательства, получивших имущественную поддержку</t>
  </si>
  <si>
    <t>Задача 2:  Поддержка торговой отрасли на территории района.</t>
  </si>
  <si>
    <t>Подпрограмма 2:  «Поддержка предприятий торговли»</t>
  </si>
  <si>
    <t xml:space="preserve">объем доставленных продуктов питания в малые поселения </t>
  </si>
  <si>
    <t>производство хлеба</t>
  </si>
  <si>
    <t>Задача 3: Равномерное и эффективное развитие торговой отрасли на территории района</t>
  </si>
  <si>
    <t>Количество сохраненных мест в гостиницах</t>
  </si>
  <si>
    <t>мест</t>
  </si>
  <si>
    <t>7.3.</t>
  </si>
  <si>
    <t>7.1.</t>
  </si>
  <si>
    <t>Подпрограмма «Поддержка малого и среднего предпринимательства в Эвенкийском муниципальном районе»</t>
  </si>
  <si>
    <t>Подпрограмма 4 "Обеспечение реализации муниципальной программы"</t>
  </si>
  <si>
    <t>Цель: Обеспечение защиты прав и свобод граждан, предупреждение экстремистских и террористических проявлений на территории Эвенкийского муниципального района</t>
  </si>
  <si>
    <t>Количество проведенных семинаров-практикумов по антитеррористической подготовке с обучающимися</t>
  </si>
  <si>
    <t>Количество распространенной полиграфической продукции антитеррористической направленности</t>
  </si>
  <si>
    <t>Количество размещенных баннеров антитеррористической направленности</t>
  </si>
  <si>
    <t>Количество совершенных актов экстремистской направленности против соблюдения прав человека</t>
  </si>
  <si>
    <t>Задача 1:  Разработка и реализация эффективных мер и механизмов в области формирования у граждан толерантного сознания и поведения, противодействия экстремизму и терроризму</t>
  </si>
  <si>
    <t>Подготовка и проведение уроков и внеклассных мероприятий, направленных на развитие уровня толерантного сознания молодежи</t>
  </si>
  <si>
    <r>
      <t>Проведение заседаний Антитеррористическая комиссия Эвенкийского муниципального района Красноярского края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по вопросам профилактики террористических угроз на территории Эвенкийского муниципального района</t>
    </r>
  </si>
  <si>
    <t>Ед</t>
  </si>
  <si>
    <t>Информирование населения по действиям при возникновении террористических угроз</t>
  </si>
  <si>
    <t>Распространение памяток, листовок среди населения, обеспечение наглядной агитацией учреждений социальной сферы</t>
  </si>
  <si>
    <t>Задача 2: Разработка и реализация системы мер раннего учета и предупреждения межнациональных конфликтов</t>
  </si>
  <si>
    <t>Проведение тематических мероприятий: фестивалей, конкурсов, викторин, с целью формирования у граждан уважительного отношения к традициям и обычаям различных народов и национальностей</t>
  </si>
  <si>
    <t>Цель. Создание условий для формирования молодой личности, постоянно совершенствующейся, способной адаптироваться к меняющимся условиям и восприимчивой к новым созидательным идеям и их реализации в интересах развития Эвенкийского муниципального района.</t>
  </si>
  <si>
    <t>Количество молодых граждан - участников мероприятий в сфере молодежной политики</t>
  </si>
  <si>
    <t>Задача 1. Создание условий для успешной социализации и эффективной самореализации молодежи Эвенкийского муниципального района</t>
  </si>
  <si>
    <t>Количество молодых граждан, проживающих в ЭМР, вовлеченных в добровольческую деятельность</t>
  </si>
  <si>
    <t>Количество молодых граждан, проживающих в ЭМР, вовлеченных в мероприятия военно-патриотической направленности</t>
  </si>
  <si>
    <t>Муниципальная программа "Развитие физической культуры и спорта в Эвенкийском муниципальном районе"</t>
  </si>
  <si>
    <t>Задача 2. Создание условий развития и совершенствования системы патриотического воспитания молодежи Эвенкийского муниципального района</t>
  </si>
  <si>
    <t>Количество трудоустроенных  в летний период несовершеннолетних граждан, проживающих в ЭМР</t>
  </si>
  <si>
    <t>Количество молодёжи ЭМР принявших участие в профильных лагерях за пределами района</t>
  </si>
  <si>
    <t>Задача 2 Проведение массовых физкультурно – спортивных мероприятий</t>
  </si>
  <si>
    <t>Задача 3 Развитие адаптивной физической культуры</t>
  </si>
  <si>
    <t>Задача 4 Подготовка спортивного резерва через развитие детско-юношеского спорта</t>
  </si>
  <si>
    <t>до58</t>
  </si>
  <si>
    <t>до 58</t>
  </si>
  <si>
    <t>снижение степени износа объектов коммунальной инфраструктуры</t>
  </si>
  <si>
    <t>энергоснабжение</t>
  </si>
  <si>
    <t>Задача 2. Обеспечение сохранности документов Архивного фонда Российской Федерации и других архивных документов, хранящихся в Муниципальном казенном учреждении «Эвенкийский архив» Эвенкийского муниципального района Красноярского края</t>
  </si>
  <si>
    <t>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</si>
  <si>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t>розничный товарооборот, предприятий получивших муниципальную поддержку</t>
  </si>
  <si>
    <t xml:space="preserve">Количество малочисленных и труднодоступных населенных пунктов района, в которых созданы и поддерживаются условия для обеспечения жителей услугами сотовой связи, ранее не имевших этой возможности </t>
  </si>
  <si>
    <t>2.5.</t>
  </si>
  <si>
    <t>Высокоэфективная</t>
  </si>
  <si>
    <t>Эффективная</t>
  </si>
  <si>
    <t>Среднеэффективная</t>
  </si>
  <si>
    <t>Неэффективная</t>
  </si>
  <si>
    <t>Не оценена</t>
  </si>
  <si>
    <t>Наименование муниципальной программы</t>
  </si>
  <si>
    <t>+</t>
  </si>
  <si>
    <t>Муниципальная программа "Поддержка СОНКО в Эвенкийском муниципальном районе"</t>
  </si>
  <si>
    <t>Муниципальная программа "Содействие развитию гражданского общества в Эвенкийском муниципальном районе"</t>
  </si>
  <si>
    <t>Объем реализации продукции сельского хозяйства населения</t>
  </si>
  <si>
    <t>1.2.1.</t>
  </si>
  <si>
    <t>мясо и мясная продукция</t>
  </si>
  <si>
    <t>1.2.2.</t>
  </si>
  <si>
    <t xml:space="preserve">молоко </t>
  </si>
  <si>
    <t>1.2.3.</t>
  </si>
  <si>
    <t>яйца</t>
  </si>
  <si>
    <t>тыс. штук</t>
  </si>
  <si>
    <t>Мероприятие 1. Осуществление полномочий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</t>
  </si>
  <si>
    <t>Уровень исполнения расходов, направленных на обеспечение деятельности специалистов, осуществляющих переданные государственные полномочия</t>
  </si>
  <si>
    <t>Мероприятие 2. Осуществление полномочий по предоставлению социальных выплат гражданам, выезжающим за пределы муниципального района, на приобретение (строительство) жилья</t>
  </si>
  <si>
    <t>Количество семей, получивших социальную выплату на улучшение жилищных условий в связи с выездом из районов Крайнего Севера и приравненных к ним местностей</t>
  </si>
  <si>
    <t>Задача 4: Предоставление социальных выплат отдельным категориям граждан для улучшения жилищных условий</t>
  </si>
  <si>
    <t>15.4</t>
  </si>
  <si>
    <t>15.5</t>
  </si>
  <si>
    <t>Цель 1. Создание условий для эффективной деятельности социально ориентированных некоммерческих организаций</t>
  </si>
  <si>
    <t>Количество СО НКО, имеющих статус юридического лица, получивших финансовую, консультационную, методическую и организационно-техническую поддержку</t>
  </si>
  <si>
    <t>Количество благополучателей, которым оказана поддержка (помощь) в рамках реализации проектов, услуг, программ социально ориентированными некоммерческими организациями района</t>
  </si>
  <si>
    <t>Задача 1. Содействие формированию пространства, способствующего развитию гражданских инициатив, развитию системы механизмов поддержки СОНКО</t>
  </si>
  <si>
    <t>Количество действующих ресурсных центров по поддержке СО НКО</t>
  </si>
  <si>
    <t>Задача 2.  Финансовая поддержка СОНКО, осуществляющих деятельность на территории Эвенкийского муниципального района</t>
  </si>
  <si>
    <t>Количество поддержанных социальных проектов СОНКО</t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</si>
  <si>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балльное значение по каждому критерию присваивается в соответствии с Методикой проведения оценки эффективности реализации МП ЭМР</t>
    </r>
  </si>
  <si>
    <t>Мероприятие 1. 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</si>
  <si>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t>Доля детей в возрасте от 5 до 18 лет, имеющих право на получение дополнительного образования в рамках персонифицированного финансирования в общей численности детей в возрасте от 5 до 18 лет</t>
  </si>
  <si>
    <t>Численность педагогических работников прошедших обучение и повышение квалификации</t>
  </si>
  <si>
    <t>Проекты документов территориального планирования и градостроительного зонирования</t>
  </si>
  <si>
    <t>Задача: Обеспечение документами территориального планирования и градостроительного зонирования муниципальных образований Эвенкийского муниципального района.</t>
  </si>
  <si>
    <t>1.3</t>
  </si>
  <si>
    <t>Мероприятие № 5 "Компенсация транспортных расходов по доставке нефтепродуктов в районы Крайнего Севера и приравненных к ним местностям с ограниченными сроками завоза грузов"</t>
  </si>
  <si>
    <t>Мероприятие № 7 "Предоставление субсидии из районного бюджета юридическим лицам, индивидуальным предпринимателям и физическим лицам - производителям товаров, работ, услуг в сфере ЖКХ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теплоснабжения, электроснабжения, водоснабжения, водоотведения, очистки сточных вод"</t>
  </si>
  <si>
    <r>
      <t>Мероприятие № 9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"Предоставление субсидии на возмещение недополученных доходов в связи с оказанием населению, проживающему на территории Эвенкийского муниципального района услуг по разбору воды из системы отопления"</t>
    </r>
  </si>
  <si>
    <t>Мероприятие № 12 "Предоставление субсидии на возмещение недополученных доходов в связи с оказанием населению, проживающему на территории Эвенкийского муниицпального района услуг по отоплению частных надворных построект (бань)"</t>
  </si>
  <si>
    <r>
      <t>Мероприятие № 16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"Финансирование расходов на проведение социально-значимых мероприятий в целях реализации соглашения о сотрудничестве при реализации А.О. "Востсибнефтегаз" социальных проектов </t>
    </r>
  </si>
  <si>
    <t>Мероприятие 3.Осуществление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</t>
  </si>
  <si>
    <t>детей-сирот</t>
  </si>
  <si>
    <t>Задача 1.Улучшение жилищных условий граждан, проживающих в сельской местности</t>
  </si>
  <si>
    <t>Задача 2.  Улучшение жилищных условий граждан,  молодых семей и молодых специалистов, проживающих в сельской местности, работающих в организациях агропромышленного комплекса и социальной сферы за счет предоставления  муниципальной  поддержки, направленной на обеспечение доступности при строительстве или приобретения жилья</t>
  </si>
  <si>
    <t>Подпрограмма 2. «Улучшение жилищных условий граждан, молодых семей и молодых специалистов в сельской местности  Эвенкийского муниципального района»</t>
  </si>
  <si>
    <t>Задача 3:Оказание за счёт средств районного бюджета поддержки молодым семьям,  нуждающимся в улучшении жилищных условий; создание условий для привлечения молодыми семьями собственных средств, финансовых  средств кредитных организаций, предоставляющих кредиты и займы, в том числе и ипотечные жилищные кредиты для приобретения жилья или строительства индивидуального жилого дома</t>
  </si>
  <si>
    <t>1.4</t>
  </si>
  <si>
    <t xml:space="preserve">количество объектов недвижимости, планируемых к приобретению  </t>
  </si>
  <si>
    <t>Муниципальная программа "Развитие и поддержка отраслей экономики Эвенкийского муниципального района"</t>
  </si>
  <si>
    <t>18</t>
  </si>
  <si>
    <t>Муниципальная программа «Профилактика преступлений и иных правонарушений на территории Эвенкийского муниципального района»</t>
  </si>
  <si>
    <t>18. Муниципальная программа «Противодействие экстремизму и профилактика терроризма на территории Эвенкийского муниципального района»</t>
  </si>
  <si>
    <t>Цель: Повышение эффективности профилактики правонарушений, охраны общественного порядка, обеспечения общественной безопасности и повышение результативности противодействия преступности.</t>
  </si>
  <si>
    <t xml:space="preserve">Количество зарегистрированных преступлений </t>
  </si>
  <si>
    <t>Задача 1. Обеспечение общественного порядка и противодействие преступности</t>
  </si>
  <si>
    <t>Количество преступлений совершённых в общественных местах</t>
  </si>
  <si>
    <t>Количество действующих добровольных народных дружин</t>
  </si>
  <si>
    <t>Задача 2. Профилактика безнадзорности и правонарушений среди несовершеннолетних</t>
  </si>
  <si>
    <t>Количество преступлений, совершенных лицами, ранее судимыми и вновь совершившими преступления</t>
  </si>
  <si>
    <t>Количество несовершеннолетних и молодежи в возрасте от 6 до 18 лет, вовлеченных в профилактические мероприятия</t>
  </si>
  <si>
    <t>Задача 3. Ресоциализация лиц, освободившихся из мест лишения свободы</t>
  </si>
  <si>
    <t>Задача 4. Противодействие распространения алкоголизма, наркомании</t>
  </si>
  <si>
    <t>18.1</t>
  </si>
  <si>
    <t>17. Муниципальная программа «Противодействие экстремизму и профилактика терроризма на территории Эвенкийского муниципального района»</t>
  </si>
  <si>
    <t>6. Муниципальная программа "Развитие и поддержка отраслей экономики Эвенкийского муниципального района"</t>
  </si>
  <si>
    <t>2.  Муниципальная программа "Культура Эвенкии"</t>
  </si>
  <si>
    <t>13. Муниципальная программа "Управление муниципальным имуществом Эвенкийского муниципального района"</t>
  </si>
  <si>
    <t>5. Муниципальная программа "Улучшение жилищных условий жителей Эвенкийского муниципального района"</t>
  </si>
  <si>
    <t>4. Муниципальная программа "Развитие физической культуры и спорта в Эвенкийском муниципальном район"</t>
  </si>
  <si>
    <t>3. Муниципальная программа "Молодежь Эвенкии"</t>
  </si>
  <si>
    <t>16. Муниципальная программа "Содействие развитию гражданского общества в Эвенкийском муниципальном районе"</t>
  </si>
  <si>
    <t>8. 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</si>
  <si>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10. Муниципальная программа "Территориальное планирование в Эвенкийском муниципальном районе"</t>
  </si>
  <si>
    <t>9. Муниципальная программа "Эвенкия-информационный регион"</t>
  </si>
  <si>
    <t>7. Муниципальная программа "Поддержка транспортной системы Эвенкийского муниципального района"</t>
  </si>
  <si>
    <t>15. Муниципальная программа «Улучшение условий труда в муниципальных учреждениях Эвенкийского муниципального района»</t>
  </si>
  <si>
    <t>12.Муниципальная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</si>
  <si>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11. Муниципальная программа "Развитие сельского хозяйства в Эвенкийском муниципальном районе"</t>
  </si>
  <si>
    <t>1. Муниципальная программа "Развитие образования Эвенкийского муниципального района"</t>
  </si>
  <si>
    <t>14. Муниципальная программа "Управление муниципальными финансами в Эвенкийском муниципальном районе"</t>
  </si>
  <si>
    <t xml:space="preserve">Муниципальная программа «Профилактика преступлений и иных правонарушений на территории Эвенкийского муниципального района» </t>
  </si>
  <si>
    <t>количество созданных (сохраненных) рабочих мест (включая вновь зарегистрированных индивидуальных предпринимателей)  в секторе  малого и среднего предпринимательства</t>
  </si>
  <si>
    <t xml:space="preserve">Доля средств субсидии направленнх на приобретение топливно-энергетичеких рсурсов </t>
  </si>
  <si>
    <t xml:space="preserve">не менее % </t>
  </si>
  <si>
    <t xml:space="preserve">Дол средств субсидии направленных на приобретение топливно-энергетических ресурсов </t>
  </si>
  <si>
    <t>Мероприятие № 14 "Софинансирвоание субсидии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 ясистем теплоснабжения, электроснабжения, водоснабжения, водооотведения и очистки сточных вод"</t>
  </si>
  <si>
    <t>1.5</t>
  </si>
  <si>
    <t>неэффективная</t>
  </si>
  <si>
    <t>2023 год</t>
  </si>
  <si>
    <t>2022 г. факт</t>
  </si>
  <si>
    <t>2023 год ( тыс. руб.)</t>
  </si>
  <si>
    <t>количество мест</t>
  </si>
  <si>
    <t>Доля представленных (во всех формах) зрителю музейных  предметов в общем количестве музейных предметов основного фонда</t>
  </si>
  <si>
    <t>3.6.</t>
  </si>
  <si>
    <t>Количество граждан, принимающих участие в добровольческой (волонтерской) деятельности в области художественного творчества, культуры, искусства</t>
  </si>
  <si>
    <t xml:space="preserve">Численность занимающихся в муниципальном бюджетном образовательном учреждении дополнительного образования «Спортивная школа»  </t>
  </si>
  <si>
    <t>Количество введенных в эксплуатацию объектов (спортивных сооружений) в сельской местности</t>
  </si>
  <si>
    <t>Подпрограмма 2. Содержание и ремонт улично-дорожной сети сельских поселений Эвенкийского муниципального района.</t>
  </si>
  <si>
    <t>Задача 2. Обеспечение сохранности и повышение  уровня  транспортно-эксплуатационного состояния улично-дорожной  сети  сельских  поселений  Эвенкийского  муниципального  района.</t>
  </si>
  <si>
    <t>Задача 3.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расходования средств краевого и районного бюджетов.</t>
  </si>
  <si>
    <t>Количество перевезенных (отправленных)  пассажиров автомобильным в том числе пригородным  и  воздушным  транспортом.</t>
  </si>
  <si>
    <t>Задача 4. Поддержка воздушного транспорта в Эвенкийском муниципальном районе для полного и эффективного удовлетворения потребностей населения и экономики Эвенкийского муниципального района в авиатранспортных услугах.</t>
  </si>
  <si>
    <t>Задача 5. Поддержка пригородного автомобильного транспорта в Эвенкийском муниципальном районе для полного и эффективного удовлетворения потребностей населения и экономики Эвенкийского муниципального района в автомобильных услугах.</t>
  </si>
  <si>
    <t>Транспортная  подвижность населения (количество рейсов/количество жителей)</t>
  </si>
  <si>
    <t>Процент  оплаты от предельного  тарифа</t>
  </si>
  <si>
    <t>5.1.</t>
  </si>
  <si>
    <t>5.2.</t>
  </si>
  <si>
    <t>5.3.</t>
  </si>
  <si>
    <t>6.2.</t>
  </si>
  <si>
    <t>6.3.</t>
  </si>
  <si>
    <t>Задача 6. Поддержка автомобильного транспорта в Эвенкийском муниципальном районе для полного и эффективного удовлетворения потребностей  населения и экономики Эвенкийского муниципального района  в  автомобильных  услугах для всех слоев населения.</t>
  </si>
  <si>
    <t>В 2023 году мероприятия подпрограммы не реализовывались</t>
  </si>
  <si>
    <t xml:space="preserve">Количество энергоснабжающих организаций, которым выплачена компенсация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 </t>
  </si>
  <si>
    <t>Мероприятие № 1"Компенсация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населения"</t>
  </si>
  <si>
    <t xml:space="preserve">доля средств субсидии направленных на финансовое обеспечение затрат, возникающих в связи с превышением нормативно валовой выручки с учетом экономически обоснованных цен (тарифов) над нормативной валовой выручкой с учетом цен (тарифов) для населения </t>
  </si>
  <si>
    <t>Количество предприятий жилищно-коммунального комплекса, которым выплачена компенсация платы граждан за коммунальные услуги</t>
  </si>
  <si>
    <t>Мероприятие № 3 "Предоставление субсидии на финансирвание (возмещение)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вследствии разницы между фактической стоимостью топлива и стоимостью топлива, учтенной в тарифах на тепловую энергию и электрическую энергию"</t>
  </si>
  <si>
    <t>Мероприятие № 4 «Софинансирование за счет средств районного бюджета субсидии на финансирование (возмещение)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энергию»</t>
  </si>
  <si>
    <t>Количество теплоснабжающих и энергосбытовых организаций, которым предоставлена субсидия на финансирование (возмещение) затрат, возникших вследствие разницы между фактической стоимостью топлива и стоимостью топлива, учтенной в тарифах на тепловую и электрическую энергию</t>
  </si>
  <si>
    <t>9.4</t>
  </si>
  <si>
    <t>9.5</t>
  </si>
  <si>
    <t>низкоэффективная</t>
  </si>
  <si>
    <t>не менее единиц</t>
  </si>
  <si>
    <t>Подготовка проектов генеральных планов (проектов внесения в них изменений) и проектов правил землепользования и застройки (проектов внесения в них изменений) сельских поселений Эвенкийского муниципального района</t>
  </si>
  <si>
    <t>Подготовка проектов местных нормативов градостроительного проектирования сельских поселений и Эвенкийского муниципального района в целом</t>
  </si>
  <si>
    <t>Подготовка проекта внесения изменений в схему территориального планирования Эвенкийского муниципального района</t>
  </si>
  <si>
    <t>Подготовка описаний местоположения границ территориальных зон сельских поселений Эвенкийского муниципального района
(всего 149 терзон по 15 населенным пунктам)</t>
  </si>
  <si>
    <t>Описание границ муниципальных образований</t>
  </si>
  <si>
    <t>Цель 1. Увеличение самозанятости экономически активного сельского населения путем создания благоприятных условий для развития малых форм хозяйствования, расширения сферы приложения труда сельского населения, повышения его доходов и уровня жизни, обеспечение потребностей населения продукцией сельского хозяйства</t>
  </si>
  <si>
    <t>Цель 2. Увеличение объемов производства продукции традиционных промыслов (мяса дикого северного оленя и рыбы), обеспечение потребностей населения района в такой продукции</t>
  </si>
  <si>
    <t>Количество субъектов, осуществляющих производство и переработку продукции традиционных промыслов (мясо дикого северного оленя, рыба), не менее</t>
  </si>
  <si>
    <t>Объем переработки продукции традиционных промыслов и ее реализации на территории района</t>
  </si>
  <si>
    <t>Цель 3. Повышение качества и доступности предоставления муниципальных услуг в рамках реализации муниципальной программы</t>
  </si>
  <si>
    <t xml:space="preserve">Результаты оценки эффективности реализации муниципальных программ, действующих на территории Эвенкийского муниципального района в 2023 году </t>
  </si>
  <si>
    <t>высоэффективная</t>
  </si>
  <si>
    <t>Мероприятие 1. Формирование и управление муниципальной собственностью, в том числе расходы на руководство и управление в сфере установленных функций;</t>
  </si>
  <si>
    <t>Количество объектов муниципального имущества, учтенных в Реестре муниципальной собственности, по разделам Реестра</t>
  </si>
  <si>
    <t xml:space="preserve">Количество объектов имущества, у которых определена рыночная стоимость (за период) </t>
  </si>
  <si>
    <t>Мероприятие 2. Содержание и охрана объектов казны</t>
  </si>
  <si>
    <t>Мероприятие 3. Приобретение недвижимого имущества в муниципальную собственность района</t>
  </si>
  <si>
    <t xml:space="preserve">площадь объектов недвижимости, планируемых к приобретению  </t>
  </si>
  <si>
    <t>Мероприятие 4. Приватизация объектов муниципальной собственности, оценочные работы;</t>
  </si>
  <si>
    <t>Мероприятие 5. Изготовление технической документации, землеустроительные работы;</t>
  </si>
  <si>
    <t>Цель. Создание комфортных условий жизнедеятельности сельских территорий Эвенкийского муниципального района, повышение уровня жизни сельского населения</t>
  </si>
  <si>
    <t>Количество детей-сирот, получивших социальную выплату на улучшение жилищных условий в связи с выездом из районов Крайнего Севера и приравненных к ним местностей</t>
  </si>
  <si>
    <t>Мероприятие 3. Осуществление полномочий по обеспечению предоставления меры социальной поддержки гражданам, достигшим возраста 23 лет и старше</t>
  </si>
  <si>
    <t>В 2023 году  Эвенкийский район не вошел в краевой список получателей субсидий,  мероприятия подпрограммы не реализовывались</t>
  </si>
  <si>
    <t>эффективное</t>
  </si>
  <si>
    <t>Количество преступлений совекршенных в состоянии алкогольного опьянения, наркотического опьянения, а также преступлений, связанных с незаконным оборотом наркотических средств и психотропных веществ</t>
  </si>
  <si>
    <t>количество публикаций в средствах массовой информации и на сайте администрации Эвенкийского муниципального района на тему поддержки малого и среднего  предпринимательства</t>
  </si>
  <si>
    <t>количество проведенных публичных мероприятий для предпринимателей на территории Эвенкийского муниципального района</t>
  </si>
</sst>
</file>

<file path=xl/styles.xml><?xml version="1.0" encoding="utf-8"?>
<styleSheet xmlns="http://schemas.openxmlformats.org/spreadsheetml/2006/main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#,##0.0"/>
    <numFmt numFmtId="168" formatCode="?"/>
    <numFmt numFmtId="169" formatCode="0.000"/>
    <numFmt numFmtId="170" formatCode="#,##0.0\ _₽"/>
    <numFmt numFmtId="171" formatCode="#,##0.00\ _₽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indexed="3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04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687">
    <xf numFmtId="0" fontId="0" fillId="0" borderId="0" xfId="0"/>
    <xf numFmtId="0" fontId="27" fillId="0" borderId="16" xfId="0" applyFont="1" applyFill="1" applyBorder="1" applyAlignment="1">
      <alignment vertical="center" wrapText="1"/>
    </xf>
    <xf numFmtId="0" fontId="0" fillId="0" borderId="0" xfId="0"/>
    <xf numFmtId="0" fontId="0" fillId="0" borderId="10" xfId="0" applyFill="1" applyBorder="1"/>
    <xf numFmtId="0" fontId="28" fillId="0" borderId="10" xfId="0" applyFont="1" applyFill="1" applyBorder="1" applyAlignment="1">
      <alignment horizontal="left" wrapText="1"/>
    </xf>
    <xf numFmtId="0" fontId="25" fillId="0" borderId="10" xfId="0" applyFont="1" applyFill="1" applyBorder="1" applyAlignment="1">
      <alignment wrapText="1"/>
    </xf>
    <xf numFmtId="0" fontId="29" fillId="0" borderId="10" xfId="0" applyFont="1" applyFill="1" applyBorder="1" applyAlignment="1">
      <alignment wrapText="1"/>
    </xf>
    <xf numFmtId="0" fontId="29" fillId="0" borderId="10" xfId="0" applyFont="1" applyFill="1" applyBorder="1" applyAlignment="1">
      <alignment vertical="top" wrapText="1"/>
    </xf>
    <xf numFmtId="0" fontId="30" fillId="0" borderId="10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justify" vertical="top" wrapText="1"/>
    </xf>
    <xf numFmtId="49" fontId="28" fillId="0" borderId="10" xfId="0" applyNumberFormat="1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vertical="top" wrapText="1"/>
    </xf>
    <xf numFmtId="49" fontId="28" fillId="0" borderId="10" xfId="0" applyNumberFormat="1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left" vertical="top" wrapText="1"/>
    </xf>
    <xf numFmtId="0" fontId="28" fillId="0" borderId="10" xfId="0" applyNumberFormat="1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right" wrapText="1"/>
    </xf>
    <xf numFmtId="0" fontId="25" fillId="0" borderId="10" xfId="0" applyFont="1" applyFill="1" applyBorder="1" applyAlignment="1">
      <alignment horizontal="right" wrapText="1"/>
    </xf>
    <xf numFmtId="166" fontId="29" fillId="0" borderId="10" xfId="0" applyNumberFormat="1" applyFont="1" applyFill="1" applyBorder="1" applyAlignment="1">
      <alignment horizontal="right" wrapText="1"/>
    </xf>
    <xf numFmtId="0" fontId="29" fillId="0" borderId="10" xfId="0" applyFont="1" applyBorder="1" applyAlignment="1">
      <alignment horizontal="justify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justify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29" fillId="0" borderId="10" xfId="0" applyFont="1" applyBorder="1"/>
    <xf numFmtId="0" fontId="29" fillId="0" borderId="10" xfId="0" applyNumberFormat="1" applyFont="1" applyFill="1" applyBorder="1" applyAlignment="1">
      <alignment vertical="center" wrapText="1"/>
    </xf>
    <xf numFmtId="0" fontId="25" fillId="0" borderId="10" xfId="0" applyNumberFormat="1" applyFont="1" applyFill="1" applyBorder="1" applyAlignment="1">
      <alignment vertical="center" wrapText="1"/>
    </xf>
    <xf numFmtId="0" fontId="0" fillId="0" borderId="10" xfId="0" applyBorder="1"/>
    <xf numFmtId="0" fontId="29" fillId="0" borderId="10" xfId="0" applyFont="1" applyFill="1" applyBorder="1" applyAlignment="1">
      <alignment vertical="center" wrapText="1"/>
    </xf>
    <xf numFmtId="0" fontId="0" fillId="0" borderId="10" xfId="0" applyBorder="1" applyAlignment="1">
      <alignment horizontal="right"/>
    </xf>
    <xf numFmtId="0" fontId="25" fillId="24" borderId="10" xfId="0" applyFont="1" applyFill="1" applyBorder="1" applyAlignment="1">
      <alignment horizontal="left" vertical="center" wrapText="1"/>
    </xf>
    <xf numFmtId="0" fontId="25" fillId="24" borderId="10" xfId="0" applyFont="1" applyFill="1" applyBorder="1" applyAlignment="1">
      <alignment wrapText="1"/>
    </xf>
    <xf numFmtId="0" fontId="25" fillId="24" borderId="10" xfId="259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right"/>
    </xf>
    <xf numFmtId="0" fontId="25" fillId="24" borderId="10" xfId="0" applyFont="1" applyFill="1" applyBorder="1" applyAlignment="1">
      <alignment horizontal="justify" vertical="center" wrapText="1"/>
    </xf>
    <xf numFmtId="0" fontId="25" fillId="24" borderId="10" xfId="259" applyFont="1" applyFill="1" applyBorder="1" applyAlignment="1">
      <alignment horizontal="justify" vertical="center" wrapText="1"/>
    </xf>
    <xf numFmtId="49" fontId="25" fillId="24" borderId="10" xfId="259" applyNumberFormat="1" applyFont="1" applyFill="1" applyBorder="1" applyAlignment="1">
      <alignment horizontal="justify" vertical="center" wrapText="1"/>
    </xf>
    <xf numFmtId="0" fontId="25" fillId="24" borderId="10" xfId="0" applyFont="1" applyFill="1" applyBorder="1" applyAlignment="1">
      <alignment vertical="center" wrapText="1"/>
    </xf>
    <xf numFmtId="0" fontId="26" fillId="0" borderId="16" xfId="0" applyFont="1" applyBorder="1" applyAlignment="1"/>
    <xf numFmtId="0" fontId="0" fillId="0" borderId="10" xfId="0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5" fillId="24" borderId="10" xfId="259" applyFont="1" applyFill="1" applyBorder="1" applyAlignment="1">
      <alignment horizontal="right" wrapText="1"/>
    </xf>
    <xf numFmtId="0" fontId="25" fillId="24" borderId="10" xfId="0" applyFont="1" applyFill="1" applyBorder="1" applyAlignment="1">
      <alignment horizontal="right" wrapText="1"/>
    </xf>
    <xf numFmtId="0" fontId="0" fillId="0" borderId="0" xfId="0" applyFill="1"/>
    <xf numFmtId="0" fontId="27" fillId="24" borderId="10" xfId="0" applyFont="1" applyFill="1" applyBorder="1" applyAlignment="1">
      <alignment vertical="center" wrapText="1"/>
    </xf>
    <xf numFmtId="0" fontId="38" fillId="24" borderId="10" xfId="0" applyFont="1" applyFill="1" applyBorder="1" applyAlignment="1">
      <alignment vertical="center" wrapText="1"/>
    </xf>
    <xf numFmtId="0" fontId="26" fillId="0" borderId="10" xfId="0" applyFont="1" applyFill="1" applyBorder="1" applyAlignment="1"/>
    <xf numFmtId="0" fontId="37" fillId="0" borderId="10" xfId="259" applyFont="1" applyFill="1" applyBorder="1" applyAlignment="1">
      <alignment vertical="center" wrapText="1"/>
    </xf>
    <xf numFmtId="0" fontId="37" fillId="0" borderId="10" xfId="259" applyFon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center"/>
    </xf>
    <xf numFmtId="167" fontId="25" fillId="0" borderId="10" xfId="0" applyNumberFormat="1" applyFont="1" applyFill="1" applyBorder="1" applyAlignment="1">
      <alignment horizontal="right" wrapText="1"/>
    </xf>
    <xf numFmtId="49" fontId="0" fillId="0" borderId="10" xfId="0" applyNumberFormat="1" applyBorder="1"/>
    <xf numFmtId="0" fontId="29" fillId="0" borderId="0" xfId="0" applyFont="1"/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9" fillId="0" borderId="16" xfId="0" applyFont="1" applyBorder="1"/>
    <xf numFmtId="0" fontId="0" fillId="0" borderId="16" xfId="0" applyBorder="1" applyAlignment="1">
      <alignment horizontal="center"/>
    </xf>
    <xf numFmtId="0" fontId="26" fillId="25" borderId="16" xfId="0" applyFont="1" applyFill="1" applyBorder="1" applyAlignment="1"/>
    <xf numFmtId="0" fontId="0" fillId="0" borderId="10" xfId="0" applyFont="1" applyFill="1" applyBorder="1"/>
    <xf numFmtId="166" fontId="33" fillId="26" borderId="10" xfId="0" applyNumberFormat="1" applyFont="1" applyFill="1" applyBorder="1"/>
    <xf numFmtId="0" fontId="33" fillId="26" borderId="10" xfId="0" applyFont="1" applyFill="1" applyBorder="1"/>
    <xf numFmtId="0" fontId="33" fillId="26" borderId="10" xfId="0" applyFont="1" applyFill="1" applyBorder="1" applyAlignment="1">
      <alignment horizontal="center"/>
    </xf>
    <xf numFmtId="2" fontId="33" fillId="26" borderId="10" xfId="0" applyNumberFormat="1" applyFont="1" applyFill="1" applyBorder="1"/>
    <xf numFmtId="0" fontId="33" fillId="26" borderId="10" xfId="0" applyFont="1" applyFill="1" applyBorder="1" applyAlignment="1">
      <alignment horizontal="center" wrapText="1"/>
    </xf>
    <xf numFmtId="166" fontId="33" fillId="26" borderId="1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>
      <alignment horizontal="center" vertical="center" wrapText="1"/>
    </xf>
    <xf numFmtId="49" fontId="30" fillId="24" borderId="10" xfId="0" applyNumberFormat="1" applyFont="1" applyFill="1" applyBorder="1" applyAlignment="1">
      <alignment horizontal="left" vertical="top" wrapText="1"/>
    </xf>
    <xf numFmtId="0" fontId="29" fillId="24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5" fillId="24" borderId="10" xfId="259" applyFont="1" applyFill="1" applyBorder="1" applyAlignment="1">
      <alignment horizontal="center" vertical="center" wrapText="1"/>
    </xf>
    <xf numFmtId="167" fontId="25" fillId="24" borderId="10" xfId="0" applyNumberFormat="1" applyFont="1" applyFill="1" applyBorder="1" applyAlignment="1">
      <alignment horizontal="right" wrapText="1"/>
    </xf>
    <xf numFmtId="0" fontId="25" fillId="24" borderId="16" xfId="0" applyFont="1" applyFill="1" applyBorder="1" applyAlignment="1">
      <alignment horizontal="center" vertical="top" wrapText="1"/>
    </xf>
    <xf numFmtId="16" fontId="25" fillId="24" borderId="16" xfId="0" applyNumberFormat="1" applyFont="1" applyFill="1" applyBorder="1" applyAlignment="1">
      <alignment horizontal="center" vertical="top" wrapText="1"/>
    </xf>
    <xf numFmtId="0" fontId="25" fillId="0" borderId="16" xfId="0" applyFont="1" applyFill="1" applyBorder="1" applyAlignment="1">
      <alignment horizontal="center" vertical="top" wrapText="1"/>
    </xf>
    <xf numFmtId="2" fontId="29" fillId="0" borderId="10" xfId="0" applyNumberFormat="1" applyFont="1" applyBorder="1"/>
    <xf numFmtId="0" fontId="25" fillId="0" borderId="10" xfId="0" applyFont="1" applyFill="1" applyBorder="1" applyAlignment="1">
      <alignment horizontal="center" vertical="center" wrapText="1"/>
    </xf>
    <xf numFmtId="0" fontId="25" fillId="27" borderId="10" xfId="0" applyFont="1" applyFill="1" applyBorder="1" applyAlignment="1">
      <alignment horizontal="right" wrapText="1"/>
    </xf>
    <xf numFmtId="167" fontId="25" fillId="27" borderId="10" xfId="0" applyNumberFormat="1" applyFont="1" applyFill="1" applyBorder="1" applyAlignment="1">
      <alignment horizontal="right" wrapText="1"/>
    </xf>
    <xf numFmtId="167" fontId="40" fillId="27" borderId="10" xfId="0" applyNumberFormat="1" applyFont="1" applyFill="1" applyBorder="1" applyAlignment="1">
      <alignment horizontal="right" wrapText="1"/>
    </xf>
    <xf numFmtId="166" fontId="25" fillId="27" borderId="10" xfId="0" applyNumberFormat="1" applyFont="1" applyFill="1" applyBorder="1" applyAlignment="1">
      <alignment horizontal="right" wrapText="1"/>
    </xf>
    <xf numFmtId="4" fontId="29" fillId="27" borderId="10" xfId="0" applyNumberFormat="1" applyFont="1" applyFill="1" applyBorder="1" applyAlignment="1">
      <alignment horizontal="right"/>
    </xf>
    <xf numFmtId="0" fontId="29" fillId="27" borderId="10" xfId="0" applyFont="1" applyFill="1" applyBorder="1" applyAlignment="1">
      <alignment horizontal="right" wrapText="1"/>
    </xf>
    <xf numFmtId="0" fontId="29" fillId="27" borderId="10" xfId="0" applyFont="1" applyFill="1" applyBorder="1" applyAlignment="1">
      <alignment horizontal="right"/>
    </xf>
    <xf numFmtId="0" fontId="29" fillId="27" borderId="10" xfId="0" applyFont="1" applyFill="1" applyBorder="1"/>
    <xf numFmtId="0" fontId="25" fillId="27" borderId="10" xfId="0" applyFont="1" applyFill="1" applyBorder="1" applyAlignment="1">
      <alignment wrapText="1"/>
    </xf>
    <xf numFmtId="0" fontId="29" fillId="27" borderId="10" xfId="0" applyFont="1" applyFill="1" applyBorder="1" applyAlignment="1">
      <alignment wrapText="1"/>
    </xf>
    <xf numFmtId="0" fontId="26" fillId="0" borderId="10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 wrapText="1"/>
    </xf>
    <xf numFmtId="166" fontId="29" fillId="0" borderId="10" xfId="0" applyNumberFormat="1" applyFont="1" applyFill="1" applyBorder="1" applyAlignment="1">
      <alignment horizontal="center" wrapText="1"/>
    </xf>
    <xf numFmtId="166" fontId="38" fillId="26" borderId="10" xfId="0" applyNumberFormat="1" applyFont="1" applyFill="1" applyBorder="1" applyAlignment="1">
      <alignment horizontal="right" vertical="center" wrapText="1"/>
    </xf>
    <xf numFmtId="0" fontId="33" fillId="26" borderId="10" xfId="0" applyFont="1" applyFill="1" applyBorder="1" applyAlignment="1">
      <alignment horizontal="center" vertical="center" wrapText="1"/>
    </xf>
    <xf numFmtId="0" fontId="33" fillId="26" borderId="10" xfId="0" applyFont="1" applyFill="1" applyBorder="1" applyAlignment="1">
      <alignment horizontal="right"/>
    </xf>
    <xf numFmtId="166" fontId="38" fillId="26" borderId="10" xfId="0" applyNumberFormat="1" applyFont="1" applyFill="1" applyBorder="1"/>
    <xf numFmtId="0" fontId="25" fillId="0" borderId="10" xfId="0" applyFont="1" applyBorder="1" applyAlignment="1">
      <alignment wrapText="1"/>
    </xf>
    <xf numFmtId="2" fontId="25" fillId="0" borderId="10" xfId="0" applyNumberFormat="1" applyFont="1" applyFill="1" applyBorder="1" applyAlignment="1">
      <alignment horizontal="right" wrapText="1"/>
    </xf>
    <xf numFmtId="166" fontId="38" fillId="26" borderId="10" xfId="0" applyNumberFormat="1" applyFont="1" applyFill="1" applyBorder="1" applyAlignment="1">
      <alignment wrapText="1"/>
    </xf>
    <xf numFmtId="2" fontId="38" fillId="0" borderId="10" xfId="0" applyNumberFormat="1" applyFont="1" applyFill="1" applyBorder="1" applyAlignment="1">
      <alignment wrapText="1"/>
    </xf>
    <xf numFmtId="2" fontId="33" fillId="0" borderId="10" xfId="0" applyNumberFormat="1" applyFont="1" applyFill="1" applyBorder="1"/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wrapText="1"/>
    </xf>
    <xf numFmtId="166" fontId="38" fillId="26" borderId="10" xfId="0" applyNumberFormat="1" applyFont="1" applyFill="1" applyBorder="1" applyAlignment="1">
      <alignment horizontal="center" vertical="center" wrapText="1"/>
    </xf>
    <xf numFmtId="2" fontId="33" fillId="26" borderId="10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29" fillId="0" borderId="10" xfId="0" applyFont="1" applyBorder="1" applyAlignment="1">
      <alignment horizontal="center" wrapText="1"/>
    </xf>
    <xf numFmtId="0" fontId="25" fillId="0" borderId="12" xfId="0" applyFont="1" applyFill="1" applyBorder="1" applyAlignment="1">
      <alignment wrapText="1"/>
    </xf>
    <xf numFmtId="0" fontId="29" fillId="24" borderId="10" xfId="0" applyFont="1" applyFill="1" applyBorder="1" applyAlignment="1">
      <alignment vertical="top" wrapText="1"/>
    </xf>
    <xf numFmtId="0" fontId="25" fillId="24" borderId="10" xfId="259" applyNumberFormat="1" applyFont="1" applyFill="1" applyBorder="1" applyAlignment="1">
      <alignment horizontal="justify" vertical="center" wrapText="1"/>
    </xf>
    <xf numFmtId="1" fontId="41" fillId="0" borderId="10" xfId="0" applyNumberFormat="1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49" fontId="25" fillId="0" borderId="10" xfId="237" applyNumberFormat="1" applyFont="1" applyFill="1" applyBorder="1" applyAlignment="1" applyProtection="1">
      <alignment horizontal="left" vertical="center" wrapText="1"/>
    </xf>
    <xf numFmtId="168" fontId="25" fillId="0" borderId="10" xfId="237" applyNumberFormat="1" applyFont="1" applyFill="1" applyBorder="1" applyAlignment="1" applyProtection="1">
      <alignment horizontal="left" vertical="center" wrapText="1"/>
    </xf>
    <xf numFmtId="0" fontId="42" fillId="26" borderId="10" xfId="0" applyFont="1" applyFill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31" fillId="0" borderId="10" xfId="0" applyFont="1" applyFill="1" applyBorder="1" applyAlignment="1">
      <alignment horizontal="right" wrapText="1"/>
    </xf>
    <xf numFmtId="0" fontId="25" fillId="24" borderId="10" xfId="0" applyFont="1" applyFill="1" applyBorder="1" applyAlignment="1">
      <alignment horizontal="center" wrapText="1"/>
    </xf>
    <xf numFmtId="0" fontId="25" fillId="24" borderId="10" xfId="0" applyFont="1" applyFill="1" applyBorder="1" applyAlignment="1">
      <alignment horizontal="left" wrapText="1"/>
    </xf>
    <xf numFmtId="0" fontId="28" fillId="24" borderId="10" xfId="0" applyFont="1" applyFill="1" applyBorder="1" applyAlignment="1">
      <alignment wrapText="1"/>
    </xf>
    <xf numFmtId="0" fontId="28" fillId="24" borderId="10" xfId="0" applyFont="1" applyFill="1" applyBorder="1" applyAlignment="1">
      <alignment horizontal="center" wrapText="1"/>
    </xf>
    <xf numFmtId="0" fontId="0" fillId="27" borderId="0" xfId="0" applyFill="1"/>
    <xf numFmtId="0" fontId="41" fillId="0" borderId="10" xfId="0" applyFont="1" applyFill="1" applyBorder="1" applyAlignment="1">
      <alignment horizontal="right"/>
    </xf>
    <xf numFmtId="2" fontId="41" fillId="0" borderId="10" xfId="0" applyNumberFormat="1" applyFont="1" applyFill="1" applyBorder="1" applyAlignment="1">
      <alignment horizontal="right"/>
    </xf>
    <xf numFmtId="0" fontId="31" fillId="26" borderId="10" xfId="0" applyFont="1" applyFill="1" applyBorder="1" applyAlignment="1">
      <alignment vertical="top" wrapText="1"/>
    </xf>
    <xf numFmtId="0" fontId="42" fillId="26" borderId="10" xfId="0" applyFont="1" applyFill="1" applyBorder="1"/>
    <xf numFmtId="2" fontId="29" fillId="0" borderId="10" xfId="0" applyNumberFormat="1" applyFont="1" applyBorder="1" applyAlignment="1">
      <alignment horizontal="right"/>
    </xf>
    <xf numFmtId="49" fontId="25" fillId="0" borderId="12" xfId="237" applyNumberFormat="1" applyFont="1" applyFill="1" applyBorder="1" applyAlignment="1" applyProtection="1">
      <alignment horizontal="left" vertical="center" wrapText="1"/>
    </xf>
    <xf numFmtId="0" fontId="33" fillId="0" borderId="10" xfId="0" applyFont="1" applyFill="1" applyBorder="1" applyAlignment="1">
      <alignment horizontal="right"/>
    </xf>
    <xf numFmtId="0" fontId="0" fillId="26" borderId="0" xfId="0" applyFill="1"/>
    <xf numFmtId="49" fontId="25" fillId="0" borderId="10" xfId="237" applyNumberFormat="1" applyFont="1" applyFill="1" applyBorder="1" applyAlignment="1" applyProtection="1">
      <alignment horizontal="left" wrapText="1"/>
    </xf>
    <xf numFmtId="49" fontId="0" fillId="0" borderId="0" xfId="0" applyNumberFormat="1"/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top" wrapText="1"/>
    </xf>
    <xf numFmtId="0" fontId="44" fillId="24" borderId="10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horizontal="center" vertical="top" wrapText="1"/>
    </xf>
    <xf numFmtId="0" fontId="29" fillId="0" borderId="10" xfId="0" applyFont="1" applyBorder="1" applyAlignment="1">
      <alignment wrapText="1"/>
    </xf>
    <xf numFmtId="0" fontId="41" fillId="0" borderId="10" xfId="0" applyFont="1" applyFill="1" applyBorder="1"/>
    <xf numFmtId="0" fontId="41" fillId="26" borderId="10" xfId="0" applyFont="1" applyFill="1" applyBorder="1"/>
    <xf numFmtId="0" fontId="41" fillId="0" borderId="10" xfId="0" applyFont="1" applyBorder="1"/>
    <xf numFmtId="0" fontId="41" fillId="27" borderId="10" xfId="0" applyFont="1" applyFill="1" applyBorder="1"/>
    <xf numFmtId="2" fontId="41" fillId="0" borderId="10" xfId="0" applyNumberFormat="1" applyFont="1" applyBorder="1"/>
    <xf numFmtId="166" fontId="41" fillId="0" borderId="10" xfId="0" applyNumberFormat="1" applyFont="1" applyBorder="1"/>
    <xf numFmtId="0" fontId="25" fillId="27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left" wrapText="1"/>
    </xf>
    <xf numFmtId="49" fontId="0" fillId="0" borderId="10" xfId="0" applyNumberFormat="1" applyBorder="1" applyAlignment="1">
      <alignment horizontal="center"/>
    </xf>
    <xf numFmtId="49" fontId="25" fillId="0" borderId="10" xfId="0" applyNumberFormat="1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171" fontId="38" fillId="26" borderId="10" xfId="0" applyNumberFormat="1" applyFont="1" applyFill="1" applyBorder="1" applyAlignment="1">
      <alignment wrapText="1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top" wrapText="1"/>
    </xf>
    <xf numFmtId="2" fontId="0" fillId="0" borderId="0" xfId="0" applyNumberFormat="1"/>
    <xf numFmtId="0" fontId="0" fillId="0" borderId="10" xfId="0" applyFont="1" applyBorder="1"/>
    <xf numFmtId="0" fontId="47" fillId="0" borderId="10" xfId="0" applyFont="1" applyFill="1" applyBorder="1" applyAlignment="1">
      <alignment horizontal="right" wrapText="1"/>
    </xf>
    <xf numFmtId="0" fontId="45" fillId="27" borderId="10" xfId="0" applyFont="1" applyFill="1" applyBorder="1" applyAlignment="1">
      <alignment horizontal="right" wrapText="1"/>
    </xf>
    <xf numFmtId="0" fontId="0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27" borderId="10" xfId="0" applyFont="1" applyFill="1" applyBorder="1" applyAlignment="1">
      <alignment horizontal="center"/>
    </xf>
    <xf numFmtId="0" fontId="45" fillId="0" borderId="10" xfId="0" applyNumberFormat="1" applyFont="1" applyFill="1" applyBorder="1" applyAlignment="1">
      <alignment horizontal="center" wrapText="1"/>
    </xf>
    <xf numFmtId="2" fontId="41" fillId="0" borderId="10" xfId="0" applyNumberFormat="1" applyFont="1" applyBorder="1" applyAlignment="1"/>
    <xf numFmtId="0" fontId="41" fillId="0" borderId="10" xfId="0" applyFont="1" applyBorder="1" applyAlignment="1">
      <alignment horizontal="right"/>
    </xf>
    <xf numFmtId="2" fontId="41" fillId="0" borderId="10" xfId="0" applyNumberFormat="1" applyFont="1" applyBorder="1" applyAlignment="1">
      <alignment horizontal="right"/>
    </xf>
    <xf numFmtId="0" fontId="41" fillId="0" borderId="10" xfId="0" applyFont="1" applyBorder="1" applyAlignment="1">
      <alignment horizontal="right" wrapText="1"/>
    </xf>
    <xf numFmtId="0" fontId="41" fillId="27" borderId="10" xfId="0" applyFont="1" applyFill="1" applyBorder="1" applyAlignment="1">
      <alignment horizontal="right" wrapText="1"/>
    </xf>
    <xf numFmtId="2" fontId="41" fillId="0" borderId="16" xfId="0" applyNumberFormat="1" applyFont="1" applyBorder="1" applyAlignment="1">
      <alignment horizontal="right" wrapText="1"/>
    </xf>
    <xf numFmtId="0" fontId="41" fillId="0" borderId="0" xfId="0" applyFont="1" applyAlignment="1">
      <alignment horizontal="right"/>
    </xf>
    <xf numFmtId="0" fontId="41" fillId="0" borderId="16" xfId="0" applyFont="1" applyBorder="1" applyAlignment="1">
      <alignment horizontal="center"/>
    </xf>
    <xf numFmtId="0" fontId="41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horizontal="right" wrapText="1"/>
    </xf>
    <xf numFmtId="0" fontId="47" fillId="27" borderId="10" xfId="0" applyFont="1" applyFill="1" applyBorder="1" applyAlignment="1">
      <alignment horizontal="right" wrapText="1"/>
    </xf>
    <xf numFmtId="0" fontId="41" fillId="0" borderId="0" xfId="0" applyFont="1" applyAlignment="1">
      <alignment horizontal="center"/>
    </xf>
    <xf numFmtId="2" fontId="41" fillId="0" borderId="16" xfId="0" applyNumberFormat="1" applyFont="1" applyBorder="1" applyAlignment="1">
      <alignment horizontal="right"/>
    </xf>
    <xf numFmtId="0" fontId="41" fillId="27" borderId="10" xfId="0" applyFont="1" applyFill="1" applyBorder="1" applyAlignment="1">
      <alignment horizontal="right"/>
    </xf>
    <xf numFmtId="2" fontId="29" fillId="0" borderId="10" xfId="0" applyNumberFormat="1" applyFont="1" applyFill="1" applyBorder="1" applyAlignment="1">
      <alignment horizontal="right" wrapText="1"/>
    </xf>
    <xf numFmtId="2" fontId="25" fillId="24" borderId="10" xfId="259" applyNumberFormat="1" applyFont="1" applyFill="1" applyBorder="1" applyAlignment="1">
      <alignment horizontal="right" wrapText="1"/>
    </xf>
    <xf numFmtId="4" fontId="40" fillId="0" borderId="10" xfId="0" applyNumberFormat="1" applyFont="1" applyFill="1" applyBorder="1" applyAlignment="1">
      <alignment horizontal="right" wrapText="1"/>
    </xf>
    <xf numFmtId="2" fontId="38" fillId="26" borderId="17" xfId="0" applyNumberFormat="1" applyFont="1" applyFill="1" applyBorder="1" applyAlignment="1">
      <alignment horizontal="right" wrapText="1"/>
    </xf>
    <xf numFmtId="2" fontId="38" fillId="0" borderId="17" xfId="0" applyNumberFormat="1" applyFont="1" applyFill="1" applyBorder="1" applyAlignment="1">
      <alignment horizontal="right" wrapText="1"/>
    </xf>
    <xf numFmtId="166" fontId="38" fillId="26" borderId="17" xfId="0" applyNumberFormat="1" applyFont="1" applyFill="1" applyBorder="1" applyAlignment="1">
      <alignment horizontal="right" wrapText="1"/>
    </xf>
    <xf numFmtId="166" fontId="38" fillId="0" borderId="17" xfId="0" applyNumberFormat="1" applyFont="1" applyFill="1" applyBorder="1" applyAlignment="1">
      <alignment horizontal="right" wrapText="1"/>
    </xf>
    <xf numFmtId="166" fontId="43" fillId="0" borderId="10" xfId="0" applyNumberFormat="1" applyFont="1" applyFill="1" applyBorder="1" applyAlignment="1">
      <alignment horizontal="right" wrapText="1"/>
    </xf>
    <xf numFmtId="166" fontId="38" fillId="0" borderId="10" xfId="0" applyNumberFormat="1" applyFont="1" applyFill="1" applyBorder="1" applyAlignment="1">
      <alignment wrapText="1"/>
    </xf>
    <xf numFmtId="166" fontId="38" fillId="26" borderId="10" xfId="0" applyNumberFormat="1" applyFont="1" applyFill="1" applyBorder="1" applyAlignment="1">
      <alignment horizontal="right" wrapText="1"/>
    </xf>
    <xf numFmtId="0" fontId="25" fillId="0" borderId="10" xfId="0" applyFont="1" applyFill="1" applyBorder="1" applyAlignment="1">
      <alignment horizontal="center" vertical="center" wrapText="1"/>
    </xf>
    <xf numFmtId="2" fontId="29" fillId="0" borderId="10" xfId="0" applyNumberFormat="1" applyFont="1" applyBorder="1" applyAlignment="1">
      <alignment wrapText="1"/>
    </xf>
    <xf numFmtId="2" fontId="29" fillId="0" borderId="10" xfId="0" applyNumberFormat="1" applyFont="1" applyFill="1" applyBorder="1" applyAlignment="1">
      <alignment horizontal="left" wrapText="1"/>
    </xf>
    <xf numFmtId="166" fontId="29" fillId="0" borderId="10" xfId="0" applyNumberFormat="1" applyFont="1" applyBorder="1" applyAlignment="1">
      <alignment wrapText="1"/>
    </xf>
    <xf numFmtId="171" fontId="33" fillId="26" borderId="10" xfId="0" applyNumberFormat="1" applyFont="1" applyFill="1" applyBorder="1" applyAlignment="1">
      <alignment wrapText="1"/>
    </xf>
    <xf numFmtId="166" fontId="33" fillId="26" borderId="10" xfId="0" applyNumberFormat="1" applyFont="1" applyFill="1" applyBorder="1" applyAlignment="1">
      <alignment wrapText="1"/>
    </xf>
    <xf numFmtId="166" fontId="41" fillId="0" borderId="10" xfId="0" applyNumberFormat="1" applyFont="1" applyBorder="1" applyAlignment="1">
      <alignment horizontal="right"/>
    </xf>
    <xf numFmtId="0" fontId="45" fillId="0" borderId="10" xfId="0" applyFont="1" applyBorder="1" applyAlignment="1">
      <alignment horizontal="right" wrapText="1"/>
    </xf>
    <xf numFmtId="0" fontId="45" fillId="24" borderId="10" xfId="0" applyFont="1" applyFill="1" applyBorder="1" applyAlignment="1">
      <alignment horizontal="right" wrapText="1"/>
    </xf>
    <xf numFmtId="0" fontId="45" fillId="0" borderId="10" xfId="0" applyFont="1" applyFill="1" applyBorder="1" applyAlignment="1">
      <alignment horizontal="right" wrapText="1"/>
    </xf>
    <xf numFmtId="0" fontId="45" fillId="0" borderId="10" xfId="0" applyFont="1" applyFill="1" applyBorder="1" applyAlignment="1">
      <alignment wrapText="1"/>
    </xf>
    <xf numFmtId="166" fontId="41" fillId="0" borderId="10" xfId="0" applyNumberFormat="1" applyFont="1" applyBorder="1" applyAlignment="1">
      <alignment horizontal="right" wrapText="1"/>
    </xf>
    <xf numFmtId="16" fontId="0" fillId="0" borderId="10" xfId="0" applyNumberFormat="1" applyBorder="1"/>
    <xf numFmtId="49" fontId="25" fillId="0" borderId="10" xfId="0" applyNumberFormat="1" applyFont="1" applyBorder="1" applyAlignment="1">
      <alignment horizontal="center" vertical="center" wrapText="1"/>
    </xf>
    <xf numFmtId="170" fontId="38" fillId="26" borderId="10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/>
    <xf numFmtId="166" fontId="33" fillId="26" borderId="17" xfId="0" applyNumberFormat="1" applyFont="1" applyFill="1" applyBorder="1"/>
    <xf numFmtId="166" fontId="33" fillId="26" borderId="17" xfId="0" applyNumberFormat="1" applyFont="1" applyFill="1" applyBorder="1" applyAlignment="1">
      <alignment horizontal="right" wrapText="1"/>
    </xf>
    <xf numFmtId="2" fontId="33" fillId="26" borderId="10" xfId="0" applyNumberFormat="1" applyFont="1" applyFill="1" applyBorder="1" applyAlignment="1">
      <alignment horizontal="right"/>
    </xf>
    <xf numFmtId="166" fontId="38" fillId="26" borderId="17" xfId="0" applyNumberFormat="1" applyFont="1" applyFill="1" applyBorder="1" applyAlignment="1">
      <alignment horizontal="right" vertical="center" wrapText="1"/>
    </xf>
    <xf numFmtId="171" fontId="33" fillId="26" borderId="10" xfId="0" applyNumberFormat="1" applyFont="1" applyFill="1" applyBorder="1" applyAlignment="1">
      <alignment horizontal="right" wrapText="1"/>
    </xf>
    <xf numFmtId="0" fontId="33" fillId="26" borderId="17" xfId="0" applyFont="1" applyFill="1" applyBorder="1"/>
    <xf numFmtId="170" fontId="33" fillId="26" borderId="10" xfId="0" applyNumberFormat="1" applyFont="1" applyFill="1" applyBorder="1" applyAlignment="1">
      <alignment wrapText="1"/>
    </xf>
    <xf numFmtId="171" fontId="38" fillId="26" borderId="10" xfId="0" applyNumberFormat="1" applyFont="1" applyFill="1" applyBorder="1" applyAlignment="1">
      <alignment horizontal="right" wrapText="1"/>
    </xf>
    <xf numFmtId="0" fontId="0" fillId="0" borderId="10" xfId="0" applyFont="1" applyBorder="1" applyAlignment="1">
      <alignment horizontal="right"/>
    </xf>
    <xf numFmtId="0" fontId="33" fillId="0" borderId="10" xfId="0" applyFont="1" applyFill="1" applyBorder="1" applyAlignment="1">
      <alignment horizontal="left"/>
    </xf>
    <xf numFmtId="0" fontId="42" fillId="0" borderId="10" xfId="0" applyFont="1" applyFill="1" applyBorder="1"/>
    <xf numFmtId="0" fontId="41" fillId="0" borderId="10" xfId="0" applyFont="1" applyFill="1" applyBorder="1" applyAlignment="1">
      <alignment horizontal="right" wrapText="1"/>
    </xf>
    <xf numFmtId="0" fontId="45" fillId="24" borderId="10" xfId="0" applyFont="1" applyFill="1" applyBorder="1" applyAlignment="1">
      <alignment wrapText="1"/>
    </xf>
    <xf numFmtId="2" fontId="41" fillId="0" borderId="10" xfId="0" applyNumberFormat="1" applyFont="1" applyFill="1" applyBorder="1" applyAlignment="1">
      <alignment horizontal="right" wrapText="1"/>
    </xf>
    <xf numFmtId="0" fontId="25" fillId="24" borderId="10" xfId="0" applyFont="1" applyFill="1" applyBorder="1" applyAlignment="1">
      <alignment horizontal="left" wrapText="1" indent="3"/>
    </xf>
    <xf numFmtId="0" fontId="25" fillId="0" borderId="10" xfId="0" applyFont="1" applyBorder="1" applyAlignment="1">
      <alignment horizontal="left" wrapText="1" indent="3"/>
    </xf>
    <xf numFmtId="0" fontId="45" fillId="27" borderId="10" xfId="0" applyFont="1" applyFill="1" applyBorder="1" applyAlignment="1">
      <alignment wrapText="1"/>
    </xf>
    <xf numFmtId="0" fontId="48" fillId="0" borderId="10" xfId="0" applyFont="1" applyBorder="1" applyAlignment="1">
      <alignment horizontal="right" vertical="center" wrapText="1"/>
    </xf>
    <xf numFmtId="0" fontId="45" fillId="0" borderId="10" xfId="0" applyFont="1" applyBorder="1" applyAlignment="1">
      <alignment horizontal="right" vertical="center" wrapText="1"/>
    </xf>
    <xf numFmtId="169" fontId="41" fillId="0" borderId="10" xfId="0" applyNumberFormat="1" applyFont="1" applyBorder="1" applyAlignment="1">
      <alignment horizontal="right"/>
    </xf>
    <xf numFmtId="2" fontId="45" fillId="24" borderId="10" xfId="0" applyNumberFormat="1" applyFont="1" applyFill="1" applyBorder="1" applyAlignment="1">
      <alignment horizontal="right" wrapText="1"/>
    </xf>
    <xf numFmtId="171" fontId="38" fillId="26" borderId="10" xfId="0" applyNumberFormat="1" applyFont="1" applyFill="1" applyBorder="1" applyAlignment="1">
      <alignment horizontal="right" vertical="center" wrapText="1"/>
    </xf>
    <xf numFmtId="164" fontId="33" fillId="26" borderId="10" xfId="0" applyNumberFormat="1" applyFont="1" applyFill="1" applyBorder="1" applyAlignment="1">
      <alignment horizontal="right" wrapText="1"/>
    </xf>
    <xf numFmtId="2" fontId="45" fillId="0" borderId="10" xfId="0" applyNumberFormat="1" applyFont="1" applyFill="1" applyBorder="1" applyAlignment="1">
      <alignment horizontal="right" wrapText="1"/>
    </xf>
    <xf numFmtId="2" fontId="41" fillId="0" borderId="10" xfId="0" applyNumberFormat="1" applyFont="1" applyBorder="1" applyAlignment="1">
      <alignment horizontal="right" wrapText="1"/>
    </xf>
    <xf numFmtId="2" fontId="45" fillId="27" borderId="10" xfId="0" applyNumberFormat="1" applyFont="1" applyFill="1" applyBorder="1" applyAlignment="1">
      <alignment horizontal="right" wrapText="1"/>
    </xf>
    <xf numFmtId="2" fontId="25" fillId="0" borderId="10" xfId="0" applyNumberFormat="1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wrapText="1"/>
    </xf>
    <xf numFmtId="2" fontId="29" fillId="0" borderId="10" xfId="0" applyNumberFormat="1" applyFont="1" applyBorder="1" applyAlignment="1">
      <alignment horizontal="center" wrapText="1"/>
    </xf>
    <xf numFmtId="2" fontId="29" fillId="0" borderId="10" xfId="0" applyNumberFormat="1" applyFont="1" applyBorder="1" applyAlignment="1">
      <alignment horizontal="center" vertical="center" wrapText="1"/>
    </xf>
    <xf numFmtId="2" fontId="41" fillId="0" borderId="10" xfId="0" applyNumberFormat="1" applyFont="1" applyBorder="1" applyAlignment="1">
      <alignment wrapText="1"/>
    </xf>
    <xf numFmtId="2" fontId="33" fillId="26" borderId="10" xfId="0" applyNumberFormat="1" applyFont="1" applyFill="1" applyBorder="1" applyAlignment="1">
      <alignment horizontal="center" wrapText="1"/>
    </xf>
    <xf numFmtId="0" fontId="45" fillId="24" borderId="10" xfId="0" applyFont="1" applyFill="1" applyBorder="1" applyAlignment="1">
      <alignment horizontal="right"/>
    </xf>
    <xf numFmtId="167" fontId="45" fillId="27" borderId="10" xfId="0" applyNumberFormat="1" applyFont="1" applyFill="1" applyBorder="1" applyAlignment="1">
      <alignment horizontal="right"/>
    </xf>
    <xf numFmtId="167" fontId="45" fillId="27" borderId="10" xfId="0" applyNumberFormat="1" applyFont="1" applyFill="1" applyBorder="1" applyAlignment="1">
      <alignment horizontal="right" wrapText="1"/>
    </xf>
    <xf numFmtId="3" fontId="45" fillId="27" borderId="10" xfId="259" applyNumberFormat="1" applyFont="1" applyFill="1" applyBorder="1" applyAlignment="1">
      <alignment horizontal="right" wrapText="1"/>
    </xf>
    <xf numFmtId="0" fontId="45" fillId="27" borderId="10" xfId="0" applyFont="1" applyFill="1" applyBorder="1" applyAlignment="1">
      <alignment horizontal="right"/>
    </xf>
    <xf numFmtId="166" fontId="38" fillId="26" borderId="17" xfId="259" applyNumberFormat="1" applyFont="1" applyFill="1" applyBorder="1" applyAlignment="1">
      <alignment horizontal="right" wrapText="1"/>
    </xf>
    <xf numFmtId="3" fontId="41" fillId="0" borderId="10" xfId="0" applyNumberFormat="1" applyFont="1" applyBorder="1" applyAlignment="1">
      <alignment horizontal="right"/>
    </xf>
    <xf numFmtId="3" fontId="41" fillId="27" borderId="10" xfId="0" applyNumberFormat="1" applyFont="1" applyFill="1" applyBorder="1" applyAlignment="1">
      <alignment horizontal="right"/>
    </xf>
    <xf numFmtId="0" fontId="25" fillId="24" borderId="10" xfId="0" applyFont="1" applyFill="1" applyBorder="1" applyAlignment="1">
      <alignment horizontal="center" vertical="center"/>
    </xf>
    <xf numFmtId="0" fontId="25" fillId="24" borderId="10" xfId="259" applyFont="1" applyFill="1" applyBorder="1" applyAlignment="1">
      <alignment horizontal="center" vertical="center"/>
    </xf>
    <xf numFmtId="49" fontId="25" fillId="24" borderId="10" xfId="259" applyNumberFormat="1" applyFont="1" applyFill="1" applyBorder="1" applyAlignment="1">
      <alignment horizontal="center" vertical="center" wrapText="1"/>
    </xf>
    <xf numFmtId="0" fontId="45" fillId="24" borderId="18" xfId="259" applyFont="1" applyFill="1" applyBorder="1" applyAlignment="1">
      <alignment wrapText="1"/>
    </xf>
    <xf numFmtId="2" fontId="45" fillId="27" borderId="10" xfId="0" applyNumberFormat="1" applyFont="1" applyFill="1" applyBorder="1" applyAlignment="1">
      <alignment wrapText="1"/>
    </xf>
    <xf numFmtId="1" fontId="45" fillId="27" borderId="10" xfId="0" applyNumberFormat="1" applyFont="1" applyFill="1" applyBorder="1" applyAlignment="1">
      <alignment wrapText="1"/>
    </xf>
    <xf numFmtId="0" fontId="45" fillId="27" borderId="10" xfId="0" applyFont="1" applyFill="1" applyBorder="1" applyAlignment="1"/>
    <xf numFmtId="0" fontId="45" fillId="27" borderId="10" xfId="259" applyNumberFormat="1" applyFont="1" applyFill="1" applyBorder="1" applyAlignment="1"/>
    <xf numFmtId="0" fontId="41" fillId="27" borderId="10" xfId="259" applyFont="1" applyFill="1" applyBorder="1" applyAlignment="1">
      <alignment wrapText="1"/>
    </xf>
    <xf numFmtId="0" fontId="45" fillId="27" borderId="10" xfId="259" applyFont="1" applyFill="1" applyBorder="1" applyAlignment="1">
      <alignment wrapText="1"/>
    </xf>
    <xf numFmtId="0" fontId="45" fillId="27" borderId="13" xfId="259" applyNumberFormat="1" applyFont="1" applyFill="1" applyBorder="1" applyAlignment="1">
      <alignment wrapText="1"/>
    </xf>
    <xf numFmtId="0" fontId="45" fillId="27" borderId="10" xfId="259" applyNumberFormat="1" applyFont="1" applyFill="1" applyBorder="1" applyAlignment="1">
      <alignment wrapText="1"/>
    </xf>
    <xf numFmtId="166" fontId="33" fillId="26" borderId="17" xfId="0" applyNumberFormat="1" applyFont="1" applyFill="1" applyBorder="1" applyAlignment="1"/>
    <xf numFmtId="166" fontId="38" fillId="26" borderId="17" xfId="259" applyNumberFormat="1" applyFont="1" applyFill="1" applyBorder="1" applyAlignment="1">
      <alignment vertical="center" wrapText="1"/>
    </xf>
    <xf numFmtId="0" fontId="45" fillId="24" borderId="13" xfId="0" applyFont="1" applyFill="1" applyBorder="1" applyAlignment="1">
      <alignment wrapText="1"/>
    </xf>
    <xf numFmtId="4" fontId="45" fillId="27" borderId="13" xfId="0" applyNumberFormat="1" applyFont="1" applyFill="1" applyBorder="1" applyAlignment="1">
      <alignment wrapText="1"/>
    </xf>
    <xf numFmtId="166" fontId="33" fillId="26" borderId="17" xfId="0" applyNumberFormat="1" applyFont="1" applyFill="1" applyBorder="1" applyAlignment="1">
      <alignment horizontal="right"/>
    </xf>
    <xf numFmtId="0" fontId="45" fillId="0" borderId="10" xfId="0" applyFont="1" applyBorder="1" applyAlignment="1">
      <alignment wrapText="1"/>
    </xf>
    <xf numFmtId="166" fontId="45" fillId="27" borderId="10" xfId="0" applyNumberFormat="1" applyFont="1" applyFill="1" applyBorder="1" applyAlignment="1">
      <alignment horizontal="right" wrapText="1"/>
    </xf>
    <xf numFmtId="166" fontId="45" fillId="27" borderId="10" xfId="0" applyNumberFormat="1" applyFont="1" applyFill="1" applyBorder="1" applyAlignment="1">
      <alignment wrapText="1"/>
    </xf>
    <xf numFmtId="0" fontId="45" fillId="0" borderId="13" xfId="0" applyFont="1" applyBorder="1" applyAlignment="1">
      <alignment wrapText="1"/>
    </xf>
    <xf numFmtId="166" fontId="45" fillId="0" borderId="10" xfId="0" applyNumberFormat="1" applyFont="1" applyBorder="1" applyAlignment="1">
      <alignment horizontal="right" wrapText="1"/>
    </xf>
    <xf numFmtId="2" fontId="45" fillId="0" borderId="10" xfId="0" applyNumberFormat="1" applyFont="1" applyBorder="1" applyAlignment="1">
      <alignment horizontal="right" wrapText="1"/>
    </xf>
    <xf numFmtId="2" fontId="45" fillId="0" borderId="10" xfId="0" applyNumberFormat="1" applyFont="1" applyFill="1" applyBorder="1" applyAlignment="1">
      <alignment horizontal="right" vertical="center" wrapText="1"/>
    </xf>
    <xf numFmtId="0" fontId="45" fillId="0" borderId="11" xfId="0" applyFont="1" applyBorder="1" applyAlignment="1">
      <alignment wrapText="1"/>
    </xf>
    <xf numFmtId="0" fontId="45" fillId="0" borderId="23" xfId="0" applyFont="1" applyBorder="1" applyAlignment="1">
      <alignment wrapText="1"/>
    </xf>
    <xf numFmtId="171" fontId="45" fillId="0" borderId="10" xfId="0" applyNumberFormat="1" applyFont="1" applyFill="1" applyBorder="1" applyAlignment="1">
      <alignment wrapText="1"/>
    </xf>
    <xf numFmtId="166" fontId="45" fillId="0" borderId="10" xfId="0" applyNumberFormat="1" applyFont="1" applyFill="1" applyBorder="1" applyAlignment="1">
      <alignment wrapText="1"/>
    </xf>
    <xf numFmtId="2" fontId="45" fillId="0" borderId="10" xfId="0" applyNumberFormat="1" applyFont="1" applyFill="1" applyBorder="1" applyAlignment="1">
      <alignment wrapText="1"/>
    </xf>
    <xf numFmtId="2" fontId="38" fillId="0" borderId="17" xfId="0" applyNumberFormat="1" applyFont="1" applyFill="1" applyBorder="1" applyAlignment="1">
      <alignment wrapText="1"/>
    </xf>
    <xf numFmtId="4" fontId="45" fillId="24" borderId="10" xfId="259" applyNumberFormat="1" applyFont="1" applyFill="1" applyBorder="1" applyAlignment="1">
      <alignment horizontal="right" wrapText="1"/>
    </xf>
    <xf numFmtId="2" fontId="41" fillId="27" borderId="10" xfId="0" applyNumberFormat="1" applyFont="1" applyFill="1" applyBorder="1" applyAlignment="1">
      <alignment wrapText="1"/>
    </xf>
    <xf numFmtId="2" fontId="41" fillId="27" borderId="10" xfId="0" applyNumberFormat="1" applyFont="1" applyFill="1" applyBorder="1" applyAlignment="1">
      <alignment horizontal="right" wrapText="1"/>
    </xf>
    <xf numFmtId="0" fontId="25" fillId="0" borderId="10" xfId="0" applyFont="1" applyFill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0" fontId="29" fillId="0" borderId="10" xfId="0" applyNumberFormat="1" applyFont="1" applyBorder="1" applyAlignment="1">
      <alignment horizontal="left" vertical="top" wrapText="1"/>
    </xf>
    <xf numFmtId="0" fontId="29" fillId="0" borderId="10" xfId="0" applyNumberFormat="1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left" wrapText="1"/>
    </xf>
    <xf numFmtId="0" fontId="29" fillId="0" borderId="10" xfId="0" applyFont="1" applyBorder="1" applyAlignment="1">
      <alignment horizontal="left" vertical="top" wrapText="1"/>
    </xf>
    <xf numFmtId="0" fontId="25" fillId="0" borderId="10" xfId="0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wrapText="1"/>
    </xf>
    <xf numFmtId="49" fontId="29" fillId="0" borderId="16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wrapText="1"/>
    </xf>
    <xf numFmtId="2" fontId="25" fillId="0" borderId="16" xfId="0" applyNumberFormat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wrapText="1"/>
    </xf>
    <xf numFmtId="0" fontId="25" fillId="0" borderId="30" xfId="0" applyFont="1" applyFill="1" applyBorder="1" applyAlignment="1">
      <alignment wrapText="1"/>
    </xf>
    <xf numFmtId="49" fontId="25" fillId="0" borderId="30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6" fontId="25" fillId="0" borderId="16" xfId="0" applyNumberFormat="1" applyFont="1" applyFill="1" applyBorder="1" applyAlignment="1">
      <alignment horizontal="center" wrapText="1"/>
    </xf>
    <xf numFmtId="0" fontId="38" fillId="0" borderId="10" xfId="0" applyFont="1" applyFill="1" applyBorder="1" applyAlignment="1">
      <alignment wrapText="1"/>
    </xf>
    <xf numFmtId="0" fontId="25" fillId="27" borderId="10" xfId="0" applyFont="1" applyFill="1" applyBorder="1" applyAlignment="1">
      <alignment horizontal="right" vertical="center" wrapText="1"/>
    </xf>
    <xf numFmtId="166" fontId="25" fillId="0" borderId="10" xfId="0" applyNumberFormat="1" applyFont="1" applyFill="1" applyBorder="1" applyAlignment="1">
      <alignment horizontal="right" wrapText="1"/>
    </xf>
    <xf numFmtId="1" fontId="45" fillId="0" borderId="10" xfId="0" applyNumberFormat="1" applyFont="1" applyBorder="1" applyAlignment="1">
      <alignment horizontal="right" wrapText="1"/>
    </xf>
    <xf numFmtId="1" fontId="45" fillId="27" borderId="10" xfId="0" applyNumberFormat="1" applyFont="1" applyFill="1" applyBorder="1" applyAlignment="1">
      <alignment horizontal="right" wrapText="1"/>
    </xf>
    <xf numFmtId="4" fontId="45" fillId="0" borderId="10" xfId="0" applyNumberFormat="1" applyFont="1" applyFill="1" applyBorder="1" applyAlignment="1">
      <alignment horizontal="right" wrapText="1"/>
    </xf>
    <xf numFmtId="171" fontId="45" fillId="0" borderId="10" xfId="0" applyNumberFormat="1" applyFont="1" applyFill="1" applyBorder="1" applyAlignment="1">
      <alignment horizontal="right" wrapText="1"/>
    </xf>
    <xf numFmtId="171" fontId="45" fillId="27" borderId="10" xfId="0" applyNumberFormat="1" applyFont="1" applyFill="1" applyBorder="1" applyAlignment="1">
      <alignment horizontal="right" wrapText="1"/>
    </xf>
    <xf numFmtId="171" fontId="41" fillId="27" borderId="10" xfId="0" applyNumberFormat="1" applyFont="1" applyFill="1" applyBorder="1" applyAlignment="1">
      <alignment horizontal="right" wrapText="1"/>
    </xf>
    <xf numFmtId="0" fontId="0" fillId="0" borderId="17" xfId="0" applyBorder="1"/>
    <xf numFmtId="4" fontId="25" fillId="0" borderId="10" xfId="0" applyNumberFormat="1" applyFont="1" applyBorder="1" applyAlignment="1" applyProtection="1">
      <alignment horizontal="right" wrapText="1"/>
    </xf>
    <xf numFmtId="0" fontId="27" fillId="0" borderId="10" xfId="0" applyFont="1" applyFill="1" applyBorder="1" applyAlignment="1">
      <alignment wrapText="1"/>
    </xf>
    <xf numFmtId="0" fontId="29" fillId="0" borderId="10" xfId="0" applyFont="1" applyBorder="1" applyAlignment="1">
      <alignment horizontal="center" vertical="center"/>
    </xf>
    <xf numFmtId="166" fontId="0" fillId="0" borderId="10" xfId="0" applyNumberFormat="1" applyBorder="1"/>
    <xf numFmtId="0" fontId="42" fillId="27" borderId="10" xfId="0" applyFont="1" applyFill="1" applyBorder="1"/>
    <xf numFmtId="0" fontId="36" fillId="0" borderId="10" xfId="0" applyFont="1" applyBorder="1"/>
    <xf numFmtId="0" fontId="29" fillId="0" borderId="10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right" wrapText="1"/>
    </xf>
    <xf numFmtId="166" fontId="29" fillId="0" borderId="10" xfId="0" applyNumberFormat="1" applyFont="1" applyFill="1" applyBorder="1" applyAlignment="1">
      <alignment horizontal="right"/>
    </xf>
    <xf numFmtId="49" fontId="29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right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wrapText="1"/>
    </xf>
    <xf numFmtId="0" fontId="0" fillId="0" borderId="10" xfId="0" applyFill="1" applyBorder="1" applyAlignment="1">
      <alignment vertical="center"/>
    </xf>
    <xf numFmtId="0" fontId="41" fillId="0" borderId="10" xfId="0" applyFont="1" applyFill="1" applyBorder="1" applyAlignment="1">
      <alignment horizontal="center"/>
    </xf>
    <xf numFmtId="2" fontId="41" fillId="0" borderId="10" xfId="0" applyNumberFormat="1" applyFont="1" applyFill="1" applyBorder="1"/>
    <xf numFmtId="2" fontId="38" fillId="26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0" fillId="0" borderId="18" xfId="0" applyBorder="1"/>
    <xf numFmtId="0" fontId="29" fillId="0" borderId="10" xfId="0" applyFont="1" applyBorder="1" applyAlignment="1">
      <alignment horizontal="center" wrapText="1"/>
    </xf>
    <xf numFmtId="2" fontId="41" fillId="0" borderId="16" xfId="0" applyNumberFormat="1" applyFont="1" applyBorder="1"/>
    <xf numFmtId="49" fontId="25" fillId="0" borderId="0" xfId="0" applyNumberFormat="1" applyFont="1" applyBorder="1" applyAlignment="1">
      <alignment horizontal="center" wrapText="1"/>
    </xf>
    <xf numFmtId="0" fontId="25" fillId="0" borderId="12" xfId="0" applyFont="1" applyBorder="1" applyAlignment="1">
      <alignment wrapText="1"/>
    </xf>
    <xf numFmtId="0" fontId="51" fillId="0" borderId="0" xfId="0" applyFont="1"/>
    <xf numFmtId="0" fontId="45" fillId="0" borderId="10" xfId="0" applyFont="1" applyBorder="1"/>
    <xf numFmtId="0" fontId="52" fillId="0" borderId="10" xfId="0" applyFont="1" applyBorder="1"/>
    <xf numFmtId="166" fontId="45" fillId="0" borderId="10" xfId="0" applyNumberFormat="1" applyFont="1" applyBorder="1"/>
    <xf numFmtId="167" fontId="29" fillId="24" borderId="10" xfId="0" applyNumberFormat="1" applyFont="1" applyFill="1" applyBorder="1" applyAlignment="1">
      <alignment horizontal="right"/>
    </xf>
    <xf numFmtId="0" fontId="25" fillId="0" borderId="10" xfId="0" applyFont="1" applyBorder="1" applyAlignment="1">
      <alignment horizontal="left" wrapText="1"/>
    </xf>
    <xf numFmtId="49" fontId="25" fillId="0" borderId="10" xfId="0" applyNumberFormat="1" applyFont="1" applyFill="1" applyBorder="1" applyAlignment="1">
      <alignment horizontal="center" vertical="center" wrapText="1"/>
    </xf>
    <xf numFmtId="2" fontId="33" fillId="26" borderId="10" xfId="0" applyNumberFormat="1" applyFont="1" applyFill="1" applyBorder="1" applyAlignment="1">
      <alignment horizontal="right" wrapText="1"/>
    </xf>
    <xf numFmtId="0" fontId="31" fillId="32" borderId="10" xfId="0" applyFont="1" applyFill="1" applyBorder="1" applyAlignment="1">
      <alignment horizontal="center"/>
    </xf>
    <xf numFmtId="0" fontId="0" fillId="26" borderId="10" xfId="0" applyFill="1" applyBorder="1"/>
    <xf numFmtId="0" fontId="0" fillId="29" borderId="10" xfId="0" applyFill="1" applyBorder="1"/>
    <xf numFmtId="0" fontId="0" fillId="28" borderId="10" xfId="0" applyFill="1" applyBorder="1"/>
    <xf numFmtId="0" fontId="0" fillId="30" borderId="10" xfId="0" applyFill="1" applyBorder="1"/>
    <xf numFmtId="0" fontId="0" fillId="31" borderId="10" xfId="0" applyFill="1" applyBorder="1"/>
    <xf numFmtId="49" fontId="27" fillId="32" borderId="10" xfId="237" applyNumberFormat="1" applyFont="1" applyFill="1" applyBorder="1" applyAlignment="1" applyProtection="1">
      <alignment horizontal="left" vertical="center" wrapText="1"/>
    </xf>
    <xf numFmtId="0" fontId="53" fillId="26" borderId="10" xfId="0" applyFont="1" applyFill="1" applyBorder="1" applyAlignment="1">
      <alignment horizontal="center"/>
    </xf>
    <xf numFmtId="0" fontId="53" fillId="29" borderId="10" xfId="0" applyFont="1" applyFill="1" applyBorder="1" applyAlignment="1">
      <alignment horizontal="center"/>
    </xf>
    <xf numFmtId="0" fontId="53" fillId="28" borderId="10" xfId="0" applyFont="1" applyFill="1" applyBorder="1" applyAlignment="1">
      <alignment horizontal="center"/>
    </xf>
    <xf numFmtId="0" fontId="53" fillId="30" borderId="10" xfId="0" applyFont="1" applyFill="1" applyBorder="1" applyAlignment="1">
      <alignment horizontal="center"/>
    </xf>
    <xf numFmtId="0" fontId="53" fillId="31" borderId="10" xfId="0" applyFont="1" applyFill="1" applyBorder="1" applyAlignment="1">
      <alignment horizontal="center"/>
    </xf>
    <xf numFmtId="0" fontId="53" fillId="33" borderId="10" xfId="0" applyFont="1" applyFill="1" applyBorder="1" applyAlignment="1">
      <alignment horizontal="center"/>
    </xf>
    <xf numFmtId="0" fontId="0" fillId="33" borderId="10" xfId="0" applyFill="1" applyBorder="1"/>
    <xf numFmtId="0" fontId="29" fillId="0" borderId="10" xfId="0" applyFont="1" applyBorder="1" applyAlignment="1">
      <alignment horizontal="center" vertical="center" wrapText="1"/>
    </xf>
    <xf numFmtId="2" fontId="31" fillId="0" borderId="10" xfId="0" applyNumberFormat="1" applyFont="1" applyFill="1" applyBorder="1" applyAlignment="1">
      <alignment horizontal="left" wrapText="1"/>
    </xf>
    <xf numFmtId="2" fontId="41" fillId="0" borderId="10" xfId="0" applyNumberFormat="1" applyFont="1" applyBorder="1" applyAlignment="1">
      <alignment horizontal="center"/>
    </xf>
    <xf numFmtId="166" fontId="33" fillId="26" borderId="10" xfId="0" applyNumberFormat="1" applyFont="1" applyFill="1" applyBorder="1" applyAlignment="1">
      <alignment horizontal="center"/>
    </xf>
    <xf numFmtId="0" fontId="41" fillId="0" borderId="0" xfId="0" applyFont="1"/>
    <xf numFmtId="166" fontId="41" fillId="0" borderId="10" xfId="0" applyNumberFormat="1" applyFont="1" applyFill="1" applyBorder="1"/>
    <xf numFmtId="2" fontId="29" fillId="0" borderId="10" xfId="0" applyNumberFormat="1" applyFont="1" applyFill="1" applyBorder="1" applyAlignment="1">
      <alignment horizontal="center" wrapText="1"/>
    </xf>
    <xf numFmtId="2" fontId="31" fillId="0" borderId="10" xfId="0" applyNumberFormat="1" applyFont="1" applyFill="1" applyBorder="1" applyAlignment="1">
      <alignment horizontal="center" wrapText="1"/>
    </xf>
    <xf numFmtId="2" fontId="29" fillId="27" borderId="10" xfId="0" applyNumberFormat="1" applyFont="1" applyFill="1" applyBorder="1" applyAlignment="1">
      <alignment horizontal="right" wrapText="1"/>
    </xf>
    <xf numFmtId="0" fontId="29" fillId="0" borderId="10" xfId="0" applyFont="1" applyBorder="1" applyAlignment="1">
      <alignment horizontal="center" wrapText="1"/>
    </xf>
    <xf numFmtId="2" fontId="33" fillId="26" borderId="10" xfId="0" applyNumberFormat="1" applyFont="1" applyFill="1" applyBorder="1" applyAlignment="1">
      <alignment wrapText="1"/>
    </xf>
    <xf numFmtId="49" fontId="25" fillId="26" borderId="24" xfId="0" applyNumberFormat="1" applyFont="1" applyFill="1" applyBorder="1"/>
    <xf numFmtId="0" fontId="45" fillId="26" borderId="10" xfId="0" applyFont="1" applyFill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right" wrapText="1"/>
    </xf>
    <xf numFmtId="0" fontId="38" fillId="26" borderId="10" xfId="0" applyFont="1" applyFill="1" applyBorder="1"/>
    <xf numFmtId="0" fontId="52" fillId="26" borderId="0" xfId="0" applyFont="1" applyFill="1"/>
    <xf numFmtId="49" fontId="25" fillId="0" borderId="24" xfId="0" applyNumberFormat="1" applyFont="1" applyFill="1" applyBorder="1"/>
    <xf numFmtId="166" fontId="45" fillId="0" borderId="10" xfId="0" applyNumberFormat="1" applyFont="1" applyBorder="1" applyAlignment="1">
      <alignment wrapText="1"/>
    </xf>
    <xf numFmtId="0" fontId="52" fillId="0" borderId="0" xfId="0" applyFont="1"/>
    <xf numFmtId="171" fontId="45" fillId="0" borderId="11" xfId="0" applyNumberFormat="1" applyFont="1" applyFill="1" applyBorder="1" applyAlignment="1">
      <alignment wrapText="1"/>
    </xf>
    <xf numFmtId="166" fontId="45" fillId="0" borderId="11" xfId="0" applyNumberFormat="1" applyFont="1" applyFill="1" applyBorder="1" applyAlignment="1">
      <alignment wrapText="1"/>
    </xf>
    <xf numFmtId="49" fontId="25" fillId="27" borderId="24" xfId="0" applyNumberFormat="1" applyFont="1" applyFill="1" applyBorder="1"/>
    <xf numFmtId="171" fontId="38" fillId="27" borderId="10" xfId="0" applyNumberFormat="1" applyFont="1" applyFill="1" applyBorder="1" applyAlignment="1">
      <alignment wrapText="1"/>
    </xf>
    <xf numFmtId="166" fontId="38" fillId="27" borderId="10" xfId="0" applyNumberFormat="1" applyFont="1" applyFill="1" applyBorder="1" applyAlignment="1">
      <alignment wrapText="1"/>
    </xf>
    <xf numFmtId="0" fontId="38" fillId="27" borderId="10" xfId="0" applyFont="1" applyFill="1" applyBorder="1" applyAlignment="1">
      <alignment horizontal="center" wrapText="1"/>
    </xf>
    <xf numFmtId="166" fontId="38" fillId="27" borderId="10" xfId="0" applyNumberFormat="1" applyFont="1" applyFill="1" applyBorder="1" applyAlignment="1">
      <alignment horizontal="right" wrapText="1"/>
    </xf>
    <xf numFmtId="0" fontId="38" fillId="27" borderId="10" xfId="0" applyFont="1" applyFill="1" applyBorder="1" applyAlignment="1">
      <alignment horizontal="right" wrapText="1"/>
    </xf>
    <xf numFmtId="1" fontId="38" fillId="27" borderId="10" xfId="0" applyNumberFormat="1" applyFont="1" applyFill="1" applyBorder="1" applyAlignment="1">
      <alignment horizontal="right" wrapText="1"/>
    </xf>
    <xf numFmtId="0" fontId="38" fillId="27" borderId="10" xfId="0" applyFont="1" applyFill="1" applyBorder="1"/>
    <xf numFmtId="0" fontId="38" fillId="27" borderId="10" xfId="0" applyFont="1" applyFill="1" applyBorder="1" applyAlignment="1">
      <alignment wrapText="1"/>
    </xf>
    <xf numFmtId="0" fontId="45" fillId="0" borderId="10" xfId="0" applyFont="1" applyFill="1" applyBorder="1"/>
    <xf numFmtId="0" fontId="38" fillId="26" borderId="10" xfId="0" applyFont="1" applyFill="1" applyBorder="1" applyAlignment="1">
      <alignment wrapText="1"/>
    </xf>
    <xf numFmtId="2" fontId="38" fillId="26" borderId="10" xfId="0" applyNumberFormat="1" applyFont="1" applyFill="1" applyBorder="1" applyAlignment="1">
      <alignment wrapText="1"/>
    </xf>
    <xf numFmtId="1" fontId="38" fillId="26" borderId="10" xfId="0" applyNumberFormat="1" applyFont="1" applyFill="1" applyBorder="1" applyAlignment="1">
      <alignment wrapText="1"/>
    </xf>
    <xf numFmtId="0" fontId="52" fillId="0" borderId="0" xfId="0" applyFont="1" applyFill="1"/>
    <xf numFmtId="166" fontId="38" fillId="27" borderId="10" xfId="0" applyNumberFormat="1" applyFont="1" applyFill="1" applyBorder="1" applyAlignment="1">
      <alignment horizontal="center" wrapText="1"/>
    </xf>
    <xf numFmtId="1" fontId="38" fillId="27" borderId="10" xfId="0" applyNumberFormat="1" applyFont="1" applyFill="1" applyBorder="1" applyAlignment="1">
      <alignment wrapText="1"/>
    </xf>
    <xf numFmtId="0" fontId="52" fillId="27" borderId="0" xfId="0" applyFont="1" applyFill="1"/>
    <xf numFmtId="171" fontId="45" fillId="0" borderId="10" xfId="0" applyNumberFormat="1" applyFont="1" applyBorder="1" applyAlignment="1">
      <alignment wrapText="1"/>
    </xf>
    <xf numFmtId="49" fontId="25" fillId="0" borderId="25" xfId="0" applyNumberFormat="1" applyFont="1" applyFill="1" applyBorder="1"/>
    <xf numFmtId="166" fontId="38" fillId="26" borderId="10" xfId="0" applyNumberFormat="1" applyFont="1" applyFill="1" applyBorder="1" applyAlignment="1">
      <alignment horizontal="center" wrapText="1"/>
    </xf>
    <xf numFmtId="0" fontId="38" fillId="26" borderId="10" xfId="0" applyFont="1" applyFill="1" applyBorder="1" applyAlignment="1">
      <alignment horizontal="center" wrapText="1"/>
    </xf>
    <xf numFmtId="2" fontId="38" fillId="27" borderId="10" xfId="0" applyNumberFormat="1" applyFont="1" applyFill="1" applyBorder="1" applyAlignment="1">
      <alignment horizontal="center" wrapText="1"/>
    </xf>
    <xf numFmtId="1" fontId="27" fillId="27" borderId="17" xfId="0" applyNumberFormat="1" applyFont="1" applyFill="1" applyBorder="1" applyAlignment="1">
      <alignment wrapText="1"/>
    </xf>
    <xf numFmtId="0" fontId="54" fillId="26" borderId="10" xfId="0" applyFont="1" applyFill="1" applyBorder="1"/>
    <xf numFmtId="166" fontId="45" fillId="0" borderId="10" xfId="0" applyNumberFormat="1" applyFont="1" applyFill="1" applyBorder="1" applyAlignment="1">
      <alignment horizontal="right" wrapText="1"/>
    </xf>
    <xf numFmtId="1" fontId="45" fillId="0" borderId="10" xfId="0" applyNumberFormat="1" applyFont="1" applyFill="1" applyBorder="1" applyAlignment="1">
      <alignment horizontal="right" wrapText="1"/>
    </xf>
    <xf numFmtId="1" fontId="38" fillId="0" borderId="10" xfId="0" applyNumberFormat="1" applyFont="1" applyFill="1" applyBorder="1" applyAlignment="1">
      <alignment wrapText="1"/>
    </xf>
    <xf numFmtId="171" fontId="38" fillId="27" borderId="10" xfId="0" applyNumberFormat="1" applyFont="1" applyFill="1" applyBorder="1" applyAlignment="1">
      <alignment horizontal="right" wrapText="1"/>
    </xf>
    <xf numFmtId="1" fontId="45" fillId="0" borderId="10" xfId="0" applyNumberFormat="1" applyFont="1" applyFill="1" applyBorder="1" applyAlignment="1">
      <alignment wrapText="1"/>
    </xf>
    <xf numFmtId="0" fontId="38" fillId="26" borderId="0" xfId="0" applyFont="1" applyFill="1" applyAlignment="1">
      <alignment horizontal="center" wrapText="1"/>
    </xf>
    <xf numFmtId="1" fontId="45" fillId="0" borderId="10" xfId="0" applyNumberFormat="1" applyFont="1" applyBorder="1" applyAlignment="1">
      <alignment wrapText="1"/>
    </xf>
    <xf numFmtId="171" fontId="38" fillId="27" borderId="16" xfId="0" applyNumberFormat="1" applyFont="1" applyFill="1" applyBorder="1" applyAlignment="1">
      <alignment horizontal="right" wrapText="1"/>
    </xf>
    <xf numFmtId="166" fontId="38" fillId="27" borderId="17" xfId="0" applyNumberFormat="1" applyFont="1" applyFill="1" applyBorder="1" applyAlignment="1">
      <alignment horizontal="center" wrapText="1"/>
    </xf>
    <xf numFmtId="1" fontId="38" fillId="27" borderId="0" xfId="0" applyNumberFormat="1" applyFont="1" applyFill="1" applyAlignment="1">
      <alignment wrapText="1"/>
    </xf>
    <xf numFmtId="171" fontId="45" fillId="0" borderId="10" xfId="0" applyNumberFormat="1" applyFont="1" applyBorder="1" applyAlignment="1">
      <alignment horizontal="right" wrapText="1"/>
    </xf>
    <xf numFmtId="167" fontId="38" fillId="26" borderId="10" xfId="0" applyNumberFormat="1" applyFont="1" applyFill="1" applyBorder="1" applyAlignment="1">
      <alignment wrapText="1"/>
    </xf>
    <xf numFmtId="167" fontId="45" fillId="0" borderId="10" xfId="0" applyNumberFormat="1" applyFont="1" applyFill="1" applyBorder="1" applyAlignment="1">
      <alignment wrapText="1"/>
    </xf>
    <xf numFmtId="1" fontId="45" fillId="0" borderId="0" xfId="0" applyNumberFormat="1" applyFont="1" applyFill="1" applyBorder="1" applyAlignment="1">
      <alignment wrapText="1"/>
    </xf>
    <xf numFmtId="0" fontId="55" fillId="24" borderId="10" xfId="0" applyFont="1" applyFill="1" applyBorder="1"/>
    <xf numFmtId="2" fontId="38" fillId="27" borderId="10" xfId="0" applyNumberFormat="1" applyFont="1" applyFill="1" applyBorder="1" applyAlignment="1">
      <alignment wrapText="1"/>
    </xf>
    <xf numFmtId="0" fontId="55" fillId="0" borderId="10" xfId="0" applyFont="1" applyBorder="1"/>
    <xf numFmtId="166" fontId="45" fillId="0" borderId="10" xfId="0" applyNumberFormat="1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40" fillId="0" borderId="10" xfId="0" applyFont="1" applyBorder="1" applyAlignment="1">
      <alignment wrapText="1"/>
    </xf>
    <xf numFmtId="49" fontId="27" fillId="26" borderId="24" xfId="0" applyNumberFormat="1" applyFont="1" applyFill="1" applyBorder="1" applyAlignment="1">
      <alignment horizontal="left"/>
    </xf>
    <xf numFmtId="0" fontId="54" fillId="26" borderId="10" xfId="0" applyFont="1" applyFill="1" applyBorder="1" applyAlignment="1">
      <alignment horizontal="left"/>
    </xf>
    <xf numFmtId="0" fontId="44" fillId="0" borderId="0" xfId="0" applyFont="1" applyFill="1" applyAlignment="1">
      <alignment horizontal="left" vertical="center"/>
    </xf>
    <xf numFmtId="167" fontId="45" fillId="0" borderId="10" xfId="0" applyNumberFormat="1" applyFont="1" applyFill="1" applyBorder="1" applyAlignment="1">
      <alignment horizontal="right" wrapText="1"/>
    </xf>
    <xf numFmtId="4" fontId="37" fillId="26" borderId="10" xfId="0" applyNumberFormat="1" applyFont="1" applyFill="1" applyBorder="1" applyAlignment="1" applyProtection="1">
      <alignment horizontal="right" wrapText="1"/>
    </xf>
    <xf numFmtId="166" fontId="37" fillId="26" borderId="10" xfId="0" applyNumberFormat="1" applyFont="1" applyFill="1" applyBorder="1" applyAlignment="1">
      <alignment wrapText="1"/>
    </xf>
    <xf numFmtId="170" fontId="26" fillId="26" borderId="10" xfId="0" applyNumberFormat="1" applyFont="1" applyFill="1" applyBorder="1" applyAlignment="1">
      <alignment horizontal="right" wrapText="1"/>
    </xf>
    <xf numFmtId="166" fontId="37" fillId="26" borderId="17" xfId="0" applyNumberFormat="1" applyFont="1" applyFill="1" applyBorder="1" applyAlignment="1">
      <alignment wrapText="1"/>
    </xf>
    <xf numFmtId="166" fontId="26" fillId="26" borderId="17" xfId="0" applyNumberFormat="1" applyFont="1" applyFill="1" applyBorder="1"/>
    <xf numFmtId="0" fontId="56" fillId="26" borderId="10" xfId="0" applyFont="1" applyFill="1" applyBorder="1" applyAlignment="1">
      <alignment horizontal="center"/>
    </xf>
    <xf numFmtId="0" fontId="42" fillId="26" borderId="16" xfId="0" applyFont="1" applyFill="1" applyBorder="1"/>
    <xf numFmtId="0" fontId="0" fillId="31" borderId="10" xfId="0" applyFill="1" applyBorder="1" applyAlignment="1">
      <alignment horizontal="center"/>
    </xf>
    <xf numFmtId="2" fontId="45" fillId="0" borderId="10" xfId="0" applyNumberFormat="1" applyFont="1" applyBorder="1" applyAlignment="1">
      <alignment wrapText="1"/>
    </xf>
    <xf numFmtId="2" fontId="45" fillId="0" borderId="17" xfId="0" applyNumberFormat="1" applyFont="1" applyFill="1" applyBorder="1" applyAlignment="1">
      <alignment wrapText="1"/>
    </xf>
    <xf numFmtId="2" fontId="33" fillId="26" borderId="10" xfId="0" applyNumberFormat="1" applyFont="1" applyFill="1" applyBorder="1" applyAlignment="1"/>
    <xf numFmtId="2" fontId="37" fillId="26" borderId="10" xfId="259" applyNumberFormat="1" applyFont="1" applyFill="1" applyBorder="1" applyAlignment="1">
      <alignment vertical="center" wrapText="1"/>
    </xf>
    <xf numFmtId="2" fontId="38" fillId="26" borderId="10" xfId="259" applyNumberFormat="1" applyFont="1" applyFill="1" applyBorder="1" applyAlignment="1">
      <alignment horizontal="right" wrapText="1"/>
    </xf>
    <xf numFmtId="2" fontId="38" fillId="26" borderId="10" xfId="0" applyNumberFormat="1" applyFont="1" applyFill="1" applyBorder="1" applyAlignment="1">
      <alignment horizontal="right" wrapText="1"/>
    </xf>
    <xf numFmtId="2" fontId="27" fillId="26" borderId="10" xfId="0" applyNumberFormat="1" applyFont="1" applyFill="1" applyBorder="1" applyAlignment="1">
      <alignment horizontal="center" wrapText="1"/>
    </xf>
    <xf numFmtId="2" fontId="26" fillId="26" borderId="10" xfId="0" applyNumberFormat="1" applyFont="1" applyFill="1" applyBorder="1"/>
    <xf numFmtId="2" fontId="37" fillId="26" borderId="10" xfId="0" applyNumberFormat="1" applyFont="1" applyFill="1" applyBorder="1" applyAlignment="1">
      <alignment wrapText="1"/>
    </xf>
    <xf numFmtId="2" fontId="38" fillId="26" borderId="10" xfId="0" applyNumberFormat="1" applyFont="1" applyFill="1" applyBorder="1"/>
    <xf numFmtId="2" fontId="42" fillId="26" borderId="10" xfId="0" applyNumberFormat="1" applyFont="1" applyFill="1" applyBorder="1"/>
    <xf numFmtId="2" fontId="45" fillId="0" borderId="10" xfId="259" applyNumberFormat="1" applyFont="1" applyFill="1" applyBorder="1" applyAlignment="1">
      <alignment wrapText="1"/>
    </xf>
    <xf numFmtId="2" fontId="45" fillId="0" borderId="10" xfId="259" applyNumberFormat="1" applyFont="1" applyFill="1" applyBorder="1" applyAlignment="1">
      <alignment horizontal="right" wrapText="1"/>
    </xf>
    <xf numFmtId="2" fontId="38" fillId="27" borderId="10" xfId="0" applyNumberFormat="1" applyFont="1" applyFill="1" applyBorder="1" applyAlignment="1">
      <alignment horizontal="right" wrapText="1"/>
    </xf>
    <xf numFmtId="2" fontId="27" fillId="27" borderId="10" xfId="0" applyNumberFormat="1" applyFont="1" applyFill="1" applyBorder="1" applyAlignment="1">
      <alignment wrapText="1"/>
    </xf>
    <xf numFmtId="2" fontId="33" fillId="0" borderId="10" xfId="0" applyNumberFormat="1" applyFont="1" applyFill="1" applyBorder="1" applyAlignment="1">
      <alignment horizontal="right"/>
    </xf>
    <xf numFmtId="0" fontId="25" fillId="24" borderId="16" xfId="259" applyFont="1" applyFill="1" applyBorder="1" applyAlignment="1">
      <alignment horizontal="justify" vertical="center" wrapText="1"/>
    </xf>
    <xf numFmtId="0" fontId="45" fillId="27" borderId="18" xfId="0" applyFont="1" applyFill="1" applyBorder="1" applyAlignment="1">
      <alignment wrapText="1"/>
    </xf>
    <xf numFmtId="0" fontId="45" fillId="24" borderId="10" xfId="259" applyFont="1" applyFill="1" applyBorder="1" applyAlignment="1">
      <alignment wrapText="1"/>
    </xf>
    <xf numFmtId="2" fontId="33" fillId="26" borderId="10" xfId="0" applyNumberFormat="1" applyFont="1" applyFill="1" applyBorder="1" applyAlignment="1">
      <alignment horizontal="right" vertical="center"/>
    </xf>
    <xf numFmtId="0" fontId="0" fillId="28" borderId="0" xfId="0" applyFill="1"/>
    <xf numFmtId="0" fontId="29" fillId="24" borderId="10" xfId="0" applyFont="1" applyFill="1" applyBorder="1" applyAlignment="1">
      <alignment horizontal="left" wrapText="1"/>
    </xf>
    <xf numFmtId="0" fontId="0" fillId="0" borderId="11" xfId="0" applyBorder="1"/>
    <xf numFmtId="2" fontId="29" fillId="0" borderId="11" xfId="0" applyNumberFormat="1" applyFont="1" applyBorder="1" applyAlignment="1">
      <alignment wrapText="1"/>
    </xf>
    <xf numFmtId="0" fontId="41" fillId="0" borderId="11" xfId="0" applyFont="1" applyBorder="1"/>
    <xf numFmtId="0" fontId="41" fillId="27" borderId="11" xfId="0" applyFont="1" applyFill="1" applyBorder="1"/>
    <xf numFmtId="166" fontId="41" fillId="0" borderId="11" xfId="0" applyNumberFormat="1" applyFont="1" applyFill="1" applyBorder="1"/>
    <xf numFmtId="0" fontId="29" fillId="26" borderId="10" xfId="0" applyFont="1" applyFill="1" applyBorder="1"/>
    <xf numFmtId="0" fontId="31" fillId="26" borderId="10" xfId="0" applyFont="1" applyFill="1" applyBorder="1"/>
    <xf numFmtId="49" fontId="0" fillId="24" borderId="10" xfId="0" applyNumberFormat="1" applyFill="1" applyBorder="1" applyAlignment="1">
      <alignment horizontal="center"/>
    </xf>
    <xf numFmtId="49" fontId="25" fillId="24" borderId="10" xfId="0" applyNumberFormat="1" applyFont="1" applyFill="1" applyBorder="1" applyAlignment="1">
      <alignment horizontal="left" vertical="top" wrapText="1"/>
    </xf>
    <xf numFmtId="0" fontId="41" fillId="24" borderId="10" xfId="0" applyFont="1" applyFill="1" applyBorder="1"/>
    <xf numFmtId="0" fontId="0" fillId="24" borderId="10" xfId="0" applyFill="1" applyBorder="1"/>
    <xf numFmtId="0" fontId="41" fillId="0" borderId="0" xfId="0" applyFont="1" applyAlignment="1">
      <alignment wrapText="1"/>
    </xf>
    <xf numFmtId="2" fontId="33" fillId="26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center" vertical="center"/>
    </xf>
    <xf numFmtId="49" fontId="27" fillId="26" borderId="10" xfId="237" applyNumberFormat="1" applyFont="1" applyFill="1" applyBorder="1" applyAlignment="1" applyProtection="1">
      <alignment horizontal="left" wrapText="1"/>
    </xf>
    <xf numFmtId="49" fontId="27" fillId="27" borderId="16" xfId="237" applyNumberFormat="1" applyFont="1" applyFill="1" applyBorder="1" applyAlignment="1" applyProtection="1">
      <alignment horizontal="left" vertical="center" wrapText="1"/>
    </xf>
    <xf numFmtId="49" fontId="27" fillId="26" borderId="10" xfId="237" applyNumberFormat="1" applyFont="1" applyFill="1" applyBorder="1" applyAlignment="1" applyProtection="1">
      <alignment horizontal="left" vertical="center" wrapText="1"/>
    </xf>
    <xf numFmtId="49" fontId="27" fillId="27" borderId="10" xfId="237" applyNumberFormat="1" applyFont="1" applyFill="1" applyBorder="1" applyAlignment="1" applyProtection="1">
      <alignment horizontal="left" vertical="center" wrapText="1"/>
    </xf>
    <xf numFmtId="49" fontId="27" fillId="27" borderId="10" xfId="237" applyNumberFormat="1" applyFont="1" applyFill="1" applyBorder="1" applyAlignment="1" applyProtection="1">
      <alignment horizontal="left" wrapText="1"/>
    </xf>
    <xf numFmtId="171" fontId="0" fillId="0" borderId="0" xfId="0" applyNumberFormat="1"/>
    <xf numFmtId="0" fontId="45" fillId="27" borderId="10" xfId="259" applyNumberFormat="1" applyFont="1" applyFill="1" applyBorder="1" applyAlignment="1">
      <alignment horizontal="right" wrapText="1"/>
    </xf>
    <xf numFmtId="169" fontId="25" fillId="24" borderId="10" xfId="259" applyNumberFormat="1" applyFont="1" applyFill="1" applyBorder="1" applyAlignment="1">
      <alignment horizontal="right" wrapText="1"/>
    </xf>
    <xf numFmtId="2" fontId="42" fillId="26" borderId="17" xfId="0" applyNumberFormat="1" applyFont="1" applyFill="1" applyBorder="1"/>
    <xf numFmtId="169" fontId="42" fillId="26" borderId="10" xfId="0" applyNumberFormat="1" applyFont="1" applyFill="1" applyBorder="1"/>
    <xf numFmtId="0" fontId="41" fillId="24" borderId="10" xfId="0" applyFont="1" applyFill="1" applyBorder="1" applyAlignment="1">
      <alignment horizontal="right" wrapText="1"/>
    </xf>
    <xf numFmtId="0" fontId="41" fillId="24" borderId="10" xfId="0" applyFont="1" applyFill="1" applyBorder="1" applyAlignment="1">
      <alignment horizontal="center"/>
    </xf>
    <xf numFmtId="169" fontId="38" fillId="26" borderId="10" xfId="0" applyNumberFormat="1" applyFont="1" applyFill="1" applyBorder="1" applyAlignment="1">
      <alignment wrapText="1"/>
    </xf>
    <xf numFmtId="2" fontId="45" fillId="26" borderId="10" xfId="0" applyNumberFormat="1" applyFont="1" applyFill="1" applyBorder="1" applyAlignment="1">
      <alignment wrapText="1"/>
    </xf>
    <xf numFmtId="2" fontId="27" fillId="27" borderId="17" xfId="0" applyNumberFormat="1" applyFont="1" applyFill="1" applyBorder="1" applyAlignment="1">
      <alignment wrapText="1"/>
    </xf>
    <xf numFmtId="2" fontId="38" fillId="27" borderId="17" xfId="0" applyNumberFormat="1" applyFont="1" applyFill="1" applyBorder="1" applyAlignment="1">
      <alignment wrapText="1"/>
    </xf>
    <xf numFmtId="2" fontId="42" fillId="27" borderId="10" xfId="0" applyNumberFormat="1" applyFont="1" applyFill="1" applyBorder="1"/>
    <xf numFmtId="2" fontId="33" fillId="0" borderId="10" xfId="0" applyNumberFormat="1" applyFont="1" applyFill="1" applyBorder="1" applyAlignment="1"/>
    <xf numFmtId="0" fontId="33" fillId="0" borderId="10" xfId="0" applyFont="1" applyFill="1" applyBorder="1" applyAlignment="1"/>
    <xf numFmtId="0" fontId="25" fillId="0" borderId="10" xfId="0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center" vertical="center" wrapText="1"/>
    </xf>
    <xf numFmtId="167" fontId="45" fillId="27" borderId="10" xfId="0" applyNumberFormat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/>
    </xf>
    <xf numFmtId="0" fontId="29" fillId="0" borderId="10" xfId="0" applyFont="1" applyBorder="1" applyAlignment="1">
      <alignment vertical="top" wrapText="1"/>
    </xf>
    <xf numFmtId="0" fontId="45" fillId="0" borderId="17" xfId="0" applyFont="1" applyFill="1" applyBorder="1" applyAlignment="1">
      <alignment horizontal="right" wrapText="1"/>
    </xf>
    <xf numFmtId="0" fontId="30" fillId="0" borderId="10" xfId="0" applyFont="1" applyBorder="1" applyAlignment="1">
      <alignment vertical="top" wrapText="1"/>
    </xf>
    <xf numFmtId="0" fontId="30" fillId="0" borderId="10" xfId="0" applyFont="1" applyBorder="1" applyAlignment="1">
      <alignment horizontal="center" vertical="top" wrapText="1"/>
    </xf>
    <xf numFmtId="0" fontId="47" fillId="0" borderId="10" xfId="0" applyFont="1" applyBorder="1" applyAlignment="1">
      <alignment vertical="top" wrapText="1"/>
    </xf>
    <xf numFmtId="169" fontId="33" fillId="26" borderId="10" xfId="0" applyNumberFormat="1" applyFont="1" applyFill="1" applyBorder="1"/>
    <xf numFmtId="0" fontId="29" fillId="0" borderId="10" xfId="0" applyFont="1" applyBorder="1" applyAlignment="1">
      <alignment horizontal="center" wrapText="1"/>
    </xf>
    <xf numFmtId="0" fontId="27" fillId="24" borderId="10" xfId="0" applyFont="1" applyFill="1" applyBorder="1" applyAlignment="1">
      <alignment horizontal="left" wrapText="1"/>
    </xf>
    <xf numFmtId="0" fontId="25" fillId="28" borderId="10" xfId="0" applyFont="1" applyFill="1" applyBorder="1" applyAlignment="1">
      <alignment horizontal="right" wrapText="1"/>
    </xf>
    <xf numFmtId="2" fontId="25" fillId="28" borderId="10" xfId="0" applyNumberFormat="1" applyFont="1" applyFill="1" applyBorder="1" applyAlignment="1">
      <alignment horizontal="right" wrapText="1"/>
    </xf>
    <xf numFmtId="167" fontId="25" fillId="28" borderId="10" xfId="0" applyNumberFormat="1" applyFont="1" applyFill="1" applyBorder="1" applyAlignment="1">
      <alignment horizontal="right" wrapText="1"/>
    </xf>
    <xf numFmtId="167" fontId="25" fillId="24" borderId="17" xfId="0" applyNumberFormat="1" applyFont="1" applyFill="1" applyBorder="1" applyAlignment="1">
      <alignment horizontal="right" wrapText="1"/>
    </xf>
    <xf numFmtId="0" fontId="29" fillId="0" borderId="10" xfId="0" applyFont="1" applyBorder="1" applyAlignment="1">
      <alignment horizontal="justify" vertical="top" wrapText="1"/>
    </xf>
    <xf numFmtId="4" fontId="25" fillId="27" borderId="10" xfId="0" applyNumberFormat="1" applyFont="1" applyFill="1" applyBorder="1" applyAlignment="1">
      <alignment horizontal="right" wrapText="1"/>
    </xf>
    <xf numFmtId="4" fontId="29" fillId="0" borderId="10" xfId="0" applyNumberFormat="1" applyFont="1" applyBorder="1" applyAlignment="1">
      <alignment horizontal="right"/>
    </xf>
    <xf numFmtId="4" fontId="29" fillId="0" borderId="10" xfId="0" applyNumberFormat="1" applyFont="1" applyBorder="1"/>
    <xf numFmtId="4" fontId="25" fillId="0" borderId="10" xfId="0" applyNumberFormat="1" applyFont="1" applyFill="1" applyBorder="1" applyAlignment="1">
      <alignment horizontal="right" wrapText="1"/>
    </xf>
    <xf numFmtId="0" fontId="38" fillId="0" borderId="18" xfId="0" applyFont="1" applyBorder="1" applyAlignment="1">
      <alignment horizontal="left" wrapText="1"/>
    </xf>
    <xf numFmtId="0" fontId="38" fillId="0" borderId="17" xfId="0" applyFont="1" applyBorder="1" applyAlignment="1">
      <alignment horizontal="left" wrapText="1"/>
    </xf>
    <xf numFmtId="0" fontId="25" fillId="27" borderId="10" xfId="0" applyFont="1" applyFill="1" applyBorder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2" fontId="0" fillId="0" borderId="10" xfId="0" applyNumberFormat="1" applyFont="1" applyBorder="1"/>
    <xf numFmtId="2" fontId="33" fillId="26" borderId="17" xfId="0" applyNumberFormat="1" applyFont="1" applyFill="1" applyBorder="1"/>
    <xf numFmtId="0" fontId="26" fillId="0" borderId="0" xfId="0" applyFont="1"/>
    <xf numFmtId="0" fontId="0" fillId="0" borderId="10" xfId="0" applyNumberFormat="1" applyBorder="1"/>
    <xf numFmtId="2" fontId="0" fillId="0" borderId="10" xfId="0" applyNumberFormat="1" applyBorder="1"/>
    <xf numFmtId="2" fontId="31" fillId="26" borderId="10" xfId="0" applyNumberFormat="1" applyFont="1" applyFill="1" applyBorder="1"/>
    <xf numFmtId="2" fontId="29" fillId="0" borderId="10" xfId="0" applyNumberFormat="1" applyFont="1" applyFill="1" applyBorder="1" applyAlignment="1">
      <alignment horizontal="right"/>
    </xf>
    <xf numFmtId="1" fontId="38" fillId="26" borderId="10" xfId="0" applyNumberFormat="1" applyFont="1" applyFill="1" applyBorder="1" applyAlignment="1">
      <alignment horizontal="right" wrapText="1"/>
    </xf>
    <xf numFmtId="169" fontId="25" fillId="27" borderId="10" xfId="0" applyNumberFormat="1" applyFont="1" applyFill="1" applyBorder="1" applyAlignment="1">
      <alignment horizontal="right" wrapText="1"/>
    </xf>
    <xf numFmtId="167" fontId="45" fillId="26" borderId="10" xfId="0" applyNumberFormat="1" applyFont="1" applyFill="1" applyBorder="1" applyAlignment="1">
      <alignment horizontal="right" vertical="top"/>
    </xf>
    <xf numFmtId="0" fontId="31" fillId="27" borderId="1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horizontal="center" vertical="center" wrapText="1"/>
    </xf>
    <xf numFmtId="0" fontId="41" fillId="0" borderId="10" xfId="350" applyFont="1" applyBorder="1" applyAlignment="1">
      <alignment horizontal="center" vertical="center" wrapText="1"/>
    </xf>
    <xf numFmtId="0" fontId="39" fillId="0" borderId="26" xfId="350" applyFont="1" applyBorder="1" applyAlignment="1">
      <alignment horizontal="center" vertical="center" wrapText="1"/>
    </xf>
    <xf numFmtId="0" fontId="39" fillId="0" borderId="27" xfId="350" applyFont="1" applyBorder="1" applyAlignment="1">
      <alignment horizontal="center" vertical="center" wrapText="1"/>
    </xf>
    <xf numFmtId="0" fontId="39" fillId="0" borderId="19" xfId="35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0" fontId="0" fillId="0" borderId="13" xfId="0" applyBorder="1"/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wrapText="1"/>
    </xf>
    <xf numFmtId="0" fontId="34" fillId="26" borderId="10" xfId="0" applyFont="1" applyFill="1" applyBorder="1" applyAlignment="1">
      <alignment horizontal="center"/>
    </xf>
    <xf numFmtId="0" fontId="37" fillId="26" borderId="10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0" fontId="37" fillId="26" borderId="16" xfId="0" applyFont="1" applyFill="1" applyBorder="1" applyAlignment="1">
      <alignment horizontal="left" wrapText="1"/>
    </xf>
    <xf numFmtId="0" fontId="37" fillId="26" borderId="18" xfId="0" applyFont="1" applyFill="1" applyBorder="1" applyAlignment="1">
      <alignment horizontal="left" wrapText="1"/>
    </xf>
    <xf numFmtId="0" fontId="37" fillId="26" borderId="17" xfId="0" applyFont="1" applyFill="1" applyBorder="1" applyAlignment="1">
      <alignment horizontal="left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7" fillId="0" borderId="16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0" fontId="26" fillId="26" borderId="16" xfId="0" applyFont="1" applyFill="1" applyBorder="1" applyAlignment="1">
      <alignment horizontal="left"/>
    </xf>
    <xf numFmtId="0" fontId="26" fillId="26" borderId="18" xfId="0" applyFont="1" applyFill="1" applyBorder="1" applyAlignment="1">
      <alignment horizontal="left"/>
    </xf>
    <xf numFmtId="0" fontId="38" fillId="26" borderId="16" xfId="259" applyFont="1" applyFill="1" applyBorder="1" applyAlignment="1">
      <alignment horizontal="left" vertical="center" wrapText="1"/>
    </xf>
    <xf numFmtId="0" fontId="38" fillId="26" borderId="18" xfId="259" applyFont="1" applyFill="1" applyBorder="1" applyAlignment="1">
      <alignment horizontal="left" vertical="center" wrapText="1"/>
    </xf>
    <xf numFmtId="0" fontId="37" fillId="26" borderId="16" xfId="259" applyFont="1" applyFill="1" applyBorder="1" applyAlignment="1">
      <alignment horizontal="left" wrapText="1"/>
    </xf>
    <xf numFmtId="0" fontId="37" fillId="26" borderId="18" xfId="259" applyFont="1" applyFill="1" applyBorder="1" applyAlignment="1">
      <alignment horizontal="left" wrapText="1"/>
    </xf>
    <xf numFmtId="0" fontId="37" fillId="26" borderId="17" xfId="259" applyFont="1" applyFill="1" applyBorder="1" applyAlignment="1">
      <alignment horizontal="left" wrapText="1"/>
    </xf>
    <xf numFmtId="0" fontId="27" fillId="24" borderId="16" xfId="259" applyFont="1" applyFill="1" applyBorder="1" applyAlignment="1">
      <alignment horizontal="left" vertical="center" wrapText="1"/>
    </xf>
    <xf numFmtId="0" fontId="27" fillId="24" borderId="18" xfId="259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left" wrapText="1"/>
    </xf>
    <xf numFmtId="0" fontId="31" fillId="0" borderId="16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4" fillId="27" borderId="10" xfId="0" applyFont="1" applyFill="1" applyBorder="1" applyAlignment="1">
      <alignment horizontal="center"/>
    </xf>
    <xf numFmtId="2" fontId="31" fillId="0" borderId="10" xfId="0" applyNumberFormat="1" applyFont="1" applyFill="1" applyBorder="1" applyAlignment="1">
      <alignment horizontal="left" wrapText="1"/>
    </xf>
    <xf numFmtId="2" fontId="31" fillId="0" borderId="10" xfId="0" applyNumberFormat="1" applyFont="1" applyBorder="1" applyAlignment="1">
      <alignment horizontal="left" wrapText="1"/>
    </xf>
    <xf numFmtId="2" fontId="33" fillId="26" borderId="10" xfId="0" applyNumberFormat="1" applyFont="1" applyFill="1" applyBorder="1" applyAlignment="1">
      <alignment horizontal="left" wrapText="1"/>
    </xf>
    <xf numFmtId="0" fontId="27" fillId="0" borderId="13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38" fillId="26" borderId="10" xfId="0" applyFont="1" applyFill="1" applyBorder="1" applyAlignment="1">
      <alignment horizontal="left" vertical="top" wrapText="1"/>
    </xf>
    <xf numFmtId="0" fontId="33" fillId="26" borderId="16" xfId="0" applyFont="1" applyFill="1" applyBorder="1" applyAlignment="1">
      <alignment horizontal="left"/>
    </xf>
    <xf numFmtId="0" fontId="33" fillId="26" borderId="18" xfId="0" applyFont="1" applyFill="1" applyBorder="1" applyAlignment="1">
      <alignment horizontal="left"/>
    </xf>
    <xf numFmtId="0" fontId="33" fillId="26" borderId="17" xfId="0" applyFont="1" applyFill="1" applyBorder="1" applyAlignment="1">
      <alignment horizontal="left"/>
    </xf>
    <xf numFmtId="0" fontId="27" fillId="24" borderId="10" xfId="259" applyFont="1" applyFill="1" applyBorder="1" applyAlignment="1">
      <alignment horizontal="left" vertical="center" wrapText="1"/>
    </xf>
    <xf numFmtId="0" fontId="38" fillId="26" borderId="10" xfId="259" applyFont="1" applyFill="1" applyBorder="1" applyAlignment="1">
      <alignment horizontal="left" vertical="center" wrapText="1"/>
    </xf>
    <xf numFmtId="0" fontId="27" fillId="0" borderId="16" xfId="259" applyFont="1" applyFill="1" applyBorder="1" applyAlignment="1">
      <alignment horizontal="center" vertical="center" wrapText="1"/>
    </xf>
    <xf numFmtId="0" fontId="27" fillId="0" borderId="18" xfId="259" applyFont="1" applyFill="1" applyBorder="1" applyAlignment="1">
      <alignment horizontal="center" vertical="center" wrapText="1"/>
    </xf>
    <xf numFmtId="0" fontId="27" fillId="0" borderId="17" xfId="259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left" wrapText="1"/>
    </xf>
    <xf numFmtId="0" fontId="27" fillId="0" borderId="18" xfId="0" applyFont="1" applyFill="1" applyBorder="1" applyAlignment="1">
      <alignment horizontal="left" wrapText="1"/>
    </xf>
    <xf numFmtId="0" fontId="27" fillId="0" borderId="17" xfId="0" applyFont="1" applyFill="1" applyBorder="1" applyAlignment="1">
      <alignment horizontal="left" wrapText="1"/>
    </xf>
    <xf numFmtId="0" fontId="27" fillId="24" borderId="10" xfId="259" applyNumberFormat="1" applyFont="1" applyFill="1" applyBorder="1" applyAlignment="1">
      <alignment horizontal="left" vertical="center" wrapText="1"/>
    </xf>
    <xf numFmtId="0" fontId="38" fillId="26" borderId="16" xfId="0" applyFont="1" applyFill="1" applyBorder="1" applyAlignment="1">
      <alignment horizontal="left" wrapText="1"/>
    </xf>
    <xf numFmtId="0" fontId="38" fillId="26" borderId="18" xfId="0" applyFont="1" applyFill="1" applyBorder="1" applyAlignment="1">
      <alignment horizontal="left" wrapText="1"/>
    </xf>
    <xf numFmtId="0" fontId="38" fillId="26" borderId="17" xfId="0" applyFont="1" applyFill="1" applyBorder="1" applyAlignment="1">
      <alignment horizontal="left" wrapText="1"/>
    </xf>
    <xf numFmtId="0" fontId="31" fillId="0" borderId="10" xfId="0" applyNumberFormat="1" applyFont="1" applyBorder="1" applyAlignment="1">
      <alignment horizontal="left" wrapText="1"/>
    </xf>
    <xf numFmtId="0" fontId="37" fillId="26" borderId="10" xfId="0" applyFont="1" applyFill="1" applyBorder="1" applyAlignment="1">
      <alignment horizontal="left" wrapText="1"/>
    </xf>
    <xf numFmtId="0" fontId="27" fillId="0" borderId="10" xfId="0" applyFont="1" applyFill="1" applyBorder="1" applyAlignment="1">
      <alignment horizontal="left" wrapText="1"/>
    </xf>
    <xf numFmtId="0" fontId="26" fillId="26" borderId="10" xfId="0" applyFont="1" applyFill="1" applyBorder="1" applyAlignment="1">
      <alignment horizontal="left"/>
    </xf>
    <xf numFmtId="16" fontId="27" fillId="0" borderId="10" xfId="0" applyNumberFormat="1" applyFont="1" applyFill="1" applyBorder="1" applyAlignment="1">
      <alignment horizontal="left" wrapText="1"/>
    </xf>
    <xf numFmtId="0" fontId="34" fillId="2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7" fillId="24" borderId="11" xfId="259" applyFont="1" applyFill="1" applyBorder="1" applyAlignment="1">
      <alignment horizontal="left" vertical="center" wrapText="1"/>
    </xf>
    <xf numFmtId="0" fontId="34" fillId="27" borderId="0" xfId="0" applyFont="1" applyFill="1" applyBorder="1" applyAlignment="1">
      <alignment horizontal="center" wrapText="1"/>
    </xf>
    <xf numFmtId="0" fontId="34" fillId="27" borderId="15" xfId="0" applyFont="1" applyFill="1" applyBorder="1" applyAlignment="1">
      <alignment horizontal="center" wrapText="1"/>
    </xf>
    <xf numFmtId="0" fontId="37" fillId="26" borderId="10" xfId="259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left"/>
    </xf>
    <xf numFmtId="0" fontId="27" fillId="24" borderId="10" xfId="0" applyFont="1" applyFill="1" applyBorder="1" applyAlignment="1">
      <alignment horizontal="left" wrapText="1"/>
    </xf>
    <xf numFmtId="0" fontId="38" fillId="26" borderId="10" xfId="0" applyFont="1" applyFill="1" applyBorder="1" applyAlignment="1">
      <alignment horizontal="left" wrapText="1"/>
    </xf>
    <xf numFmtId="0" fontId="0" fillId="0" borderId="17" xfId="0" applyBorder="1" applyAlignment="1"/>
    <xf numFmtId="0" fontId="38" fillId="26" borderId="1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wrapText="1"/>
    </xf>
    <xf numFmtId="0" fontId="27" fillId="0" borderId="10" xfId="0" applyFont="1" applyBorder="1" applyAlignment="1">
      <alignment horizontal="left" wrapText="1"/>
    </xf>
    <xf numFmtId="0" fontId="38" fillId="26" borderId="10" xfId="259" applyNumberFormat="1" applyFont="1" applyFill="1" applyBorder="1" applyAlignment="1">
      <alignment horizontal="left" vertical="center" wrapText="1"/>
    </xf>
    <xf numFmtId="0" fontId="27" fillId="26" borderId="10" xfId="259" applyNumberFormat="1" applyFont="1" applyFill="1" applyBorder="1" applyAlignment="1">
      <alignment horizontal="left" vertical="center" wrapText="1"/>
    </xf>
    <xf numFmtId="0" fontId="33" fillId="26" borderId="10" xfId="0" applyFont="1" applyFill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38" fillId="26" borderId="16" xfId="0" applyFont="1" applyFill="1" applyBorder="1" applyAlignment="1">
      <alignment horizontal="left" vertical="center" wrapText="1"/>
    </xf>
    <xf numFmtId="0" fontId="38" fillId="26" borderId="18" xfId="0" applyFont="1" applyFill="1" applyBorder="1" applyAlignment="1">
      <alignment horizontal="left" vertical="center" wrapText="1"/>
    </xf>
    <xf numFmtId="0" fontId="38" fillId="24" borderId="10" xfId="259" applyFont="1" applyFill="1" applyBorder="1" applyAlignment="1">
      <alignment horizontal="left" vertical="center" wrapText="1"/>
    </xf>
    <xf numFmtId="0" fontId="38" fillId="0" borderId="20" xfId="259" applyNumberFormat="1" applyFont="1" applyFill="1" applyBorder="1" applyAlignment="1">
      <alignment horizontal="left" vertical="center" wrapText="1"/>
    </xf>
    <xf numFmtId="0" fontId="38" fillId="0" borderId="14" xfId="259" applyNumberFormat="1" applyFont="1" applyFill="1" applyBorder="1" applyAlignment="1">
      <alignment horizontal="left" vertical="center" wrapText="1"/>
    </xf>
    <xf numFmtId="0" fontId="33" fillId="26" borderId="16" xfId="0" applyFont="1" applyFill="1" applyBorder="1" applyAlignment="1">
      <alignment horizontal="left" wrapText="1"/>
    </xf>
    <xf numFmtId="0" fontId="33" fillId="26" borderId="18" xfId="0" applyFont="1" applyFill="1" applyBorder="1" applyAlignment="1">
      <alignment horizontal="left" wrapText="1"/>
    </xf>
    <xf numFmtId="0" fontId="33" fillId="26" borderId="17" xfId="0" applyFont="1" applyFill="1" applyBorder="1" applyAlignment="1">
      <alignment horizontal="left" wrapText="1"/>
    </xf>
    <xf numFmtId="0" fontId="31" fillId="0" borderId="16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3" fillId="26" borderId="16" xfId="0" applyFont="1" applyFill="1" applyBorder="1" applyAlignment="1">
      <alignment horizontal="left" vertical="center" wrapText="1"/>
    </xf>
    <xf numFmtId="0" fontId="33" fillId="26" borderId="18" xfId="0" applyFont="1" applyFill="1" applyBorder="1" applyAlignment="1">
      <alignment horizontal="left" vertical="center" wrapText="1"/>
    </xf>
    <xf numFmtId="0" fontId="33" fillId="26" borderId="17" xfId="0" applyFont="1" applyFill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4" fillId="26" borderId="0" xfId="0" applyFont="1" applyFill="1" applyBorder="1" applyAlignment="1">
      <alignment horizontal="center" wrapText="1"/>
    </xf>
    <xf numFmtId="0" fontId="34" fillId="26" borderId="15" xfId="0" applyFont="1" applyFill="1" applyBorder="1" applyAlignment="1">
      <alignment horizontal="center" wrapText="1"/>
    </xf>
    <xf numFmtId="0" fontId="27" fillId="0" borderId="16" xfId="0" applyFont="1" applyBorder="1" applyAlignment="1">
      <alignment horizontal="left" vertical="center" wrapText="1"/>
    </xf>
    <xf numFmtId="0" fontId="0" fillId="0" borderId="18" xfId="0" applyBorder="1"/>
    <xf numFmtId="0" fontId="32" fillId="0" borderId="16" xfId="0" applyFont="1" applyBorder="1" applyAlignment="1">
      <alignment horizontal="left"/>
    </xf>
    <xf numFmtId="0" fontId="32" fillId="0" borderId="18" xfId="0" applyFont="1" applyBorder="1" applyAlignment="1">
      <alignment horizontal="left"/>
    </xf>
    <xf numFmtId="0" fontId="38" fillId="0" borderId="16" xfId="0" applyFont="1" applyBorder="1" applyAlignment="1">
      <alignment horizontal="left" wrapText="1"/>
    </xf>
    <xf numFmtId="0" fontId="38" fillId="0" borderId="18" xfId="0" applyFont="1" applyBorder="1" applyAlignment="1">
      <alignment horizontal="left" wrapText="1"/>
    </xf>
    <xf numFmtId="0" fontId="38" fillId="0" borderId="17" xfId="0" applyFont="1" applyBorder="1" applyAlignment="1">
      <alignment horizontal="left" wrapText="1"/>
    </xf>
    <xf numFmtId="0" fontId="33" fillId="0" borderId="10" xfId="0" applyFont="1" applyFill="1" applyBorder="1" applyAlignment="1">
      <alignment horizontal="left" vertical="center" wrapText="1"/>
    </xf>
    <xf numFmtId="0" fontId="33" fillId="26" borderId="10" xfId="0" applyFont="1" applyFill="1" applyBorder="1" applyAlignment="1">
      <alignment horizontal="left" wrapText="1"/>
    </xf>
    <xf numFmtId="0" fontId="33" fillId="26" borderId="10" xfId="0" applyFont="1" applyFill="1" applyBorder="1" applyAlignment="1">
      <alignment horizontal="left"/>
    </xf>
    <xf numFmtId="0" fontId="31" fillId="26" borderId="10" xfId="0" applyFont="1" applyFill="1" applyBorder="1" applyAlignment="1">
      <alignment wrapText="1"/>
    </xf>
    <xf numFmtId="0" fontId="29" fillId="26" borderId="10" xfId="0" applyFont="1" applyFill="1" applyBorder="1" applyAlignment="1">
      <alignment wrapText="1"/>
    </xf>
    <xf numFmtId="0" fontId="31" fillId="26" borderId="16" xfId="0" applyFont="1" applyFill="1" applyBorder="1" applyAlignment="1">
      <alignment horizontal="left" wrapText="1"/>
    </xf>
    <xf numFmtId="0" fontId="31" fillId="26" borderId="18" xfId="0" applyFont="1" applyFill="1" applyBorder="1" applyAlignment="1">
      <alignment horizontal="left" wrapText="1"/>
    </xf>
    <xf numFmtId="0" fontId="31" fillId="26" borderId="17" xfId="0" applyFont="1" applyFill="1" applyBorder="1" applyAlignment="1">
      <alignment horizontal="left" wrapText="1"/>
    </xf>
    <xf numFmtId="0" fontId="31" fillId="0" borderId="17" xfId="0" applyFont="1" applyBorder="1" applyAlignment="1">
      <alignment horizontal="left" wrapText="1"/>
    </xf>
    <xf numFmtId="0" fontId="26" fillId="0" borderId="2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1" fillId="0" borderId="16" xfId="0" applyFont="1" applyFill="1" applyBorder="1" applyAlignment="1">
      <alignment horizontal="left" wrapText="1"/>
    </xf>
    <xf numFmtId="0" fontId="31" fillId="0" borderId="18" xfId="0" applyFont="1" applyFill="1" applyBorder="1" applyAlignment="1">
      <alignment horizontal="left" wrapText="1"/>
    </xf>
    <xf numFmtId="0" fontId="31" fillId="0" borderId="17" xfId="0" applyFont="1" applyFill="1" applyBorder="1" applyAlignment="1">
      <alignment horizontal="left" wrapText="1"/>
    </xf>
    <xf numFmtId="0" fontId="31" fillId="0" borderId="16" xfId="0" applyFont="1" applyFill="1" applyBorder="1" applyAlignment="1">
      <alignment horizontal="left" vertical="top" wrapText="1"/>
    </xf>
    <xf numFmtId="0" fontId="31" fillId="0" borderId="18" xfId="0" applyFont="1" applyFill="1" applyBorder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32" fillId="0" borderId="16" xfId="0" applyFont="1" applyFill="1" applyBorder="1" applyAlignment="1">
      <alignment horizontal="left" wrapText="1"/>
    </xf>
    <xf numFmtId="0" fontId="32" fillId="0" borderId="18" xfId="0" applyFont="1" applyFill="1" applyBorder="1" applyAlignment="1">
      <alignment horizontal="left" wrapText="1"/>
    </xf>
    <xf numFmtId="0" fontId="32" fillId="0" borderId="17" xfId="0" applyFont="1" applyFill="1" applyBorder="1" applyAlignment="1">
      <alignment horizontal="left" wrapText="1"/>
    </xf>
    <xf numFmtId="0" fontId="26" fillId="26" borderId="16" xfId="0" applyFont="1" applyFill="1" applyBorder="1" applyAlignment="1">
      <alignment horizontal="left" wrapText="1"/>
    </xf>
    <xf numFmtId="0" fontId="26" fillId="26" borderId="18" xfId="0" applyFont="1" applyFill="1" applyBorder="1" applyAlignment="1">
      <alignment horizontal="left" wrapText="1"/>
    </xf>
    <xf numFmtId="0" fontId="26" fillId="26" borderId="17" xfId="0" applyFont="1" applyFill="1" applyBorder="1" applyAlignment="1">
      <alignment horizontal="left" wrapText="1"/>
    </xf>
    <xf numFmtId="0" fontId="31" fillId="0" borderId="10" xfId="0" applyFont="1" applyBorder="1" applyAlignment="1">
      <alignment horizontal="left" vertical="top" wrapText="1"/>
    </xf>
    <xf numFmtId="0" fontId="42" fillId="26" borderId="16" xfId="0" applyFont="1" applyFill="1" applyBorder="1" applyAlignment="1">
      <alignment horizontal="center"/>
    </xf>
    <xf numFmtId="0" fontId="42" fillId="26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42" fillId="29" borderId="16" xfId="0" applyFont="1" applyFill="1" applyBorder="1" applyAlignment="1">
      <alignment horizontal="center"/>
    </xf>
    <xf numFmtId="0" fontId="42" fillId="29" borderId="18" xfId="0" applyFont="1" applyFill="1" applyBorder="1" applyAlignment="1">
      <alignment horizontal="center"/>
    </xf>
    <xf numFmtId="0" fontId="42" fillId="28" borderId="16" xfId="0" applyFont="1" applyFill="1" applyBorder="1" applyAlignment="1">
      <alignment horizontal="center"/>
    </xf>
    <xf numFmtId="0" fontId="42" fillId="28" borderId="18" xfId="0" applyFont="1" applyFill="1" applyBorder="1" applyAlignment="1">
      <alignment horizontal="center"/>
    </xf>
    <xf numFmtId="0" fontId="42" fillId="30" borderId="16" xfId="0" applyFont="1" applyFill="1" applyBorder="1" applyAlignment="1">
      <alignment horizontal="center"/>
    </xf>
    <xf numFmtId="0" fontId="42" fillId="30" borderId="18" xfId="0" applyFont="1" applyFill="1" applyBorder="1" applyAlignment="1">
      <alignment horizontal="center"/>
    </xf>
    <xf numFmtId="0" fontId="42" fillId="31" borderId="16" xfId="0" applyFont="1" applyFill="1" applyBorder="1" applyAlignment="1">
      <alignment horizontal="center"/>
    </xf>
    <xf numFmtId="0" fontId="42" fillId="31" borderId="18" xfId="0" applyFont="1" applyFill="1" applyBorder="1" applyAlignment="1">
      <alignment horizontal="center"/>
    </xf>
  </cellXfs>
  <cellStyles count="404">
    <cellStyle name="20% - Акцент1 2" xfId="1"/>
    <cellStyle name="20% - Акцент1 2 2" xfId="2"/>
    <cellStyle name="20% - Акцент1 3" xfId="3"/>
    <cellStyle name="20% - Акцент1 3 2" xfId="4"/>
    <cellStyle name="20% - Акцент1 4" xfId="5"/>
    <cellStyle name="20% - Акцент1 4 2" xfId="6"/>
    <cellStyle name="20% - Акцент1 5" xfId="7"/>
    <cellStyle name="20% - Акцент1 5 2" xfId="8"/>
    <cellStyle name="20% - Акцент1 6" xfId="9"/>
    <cellStyle name="20% - Акцент1 6 2" xfId="10"/>
    <cellStyle name="20% - Акцент2 2" xfId="11"/>
    <cellStyle name="20% - Акцент2 2 2" xfId="12"/>
    <cellStyle name="20% - Акцент2 3" xfId="13"/>
    <cellStyle name="20% - Акцент2 3 2" xfId="14"/>
    <cellStyle name="20% - Акцент2 4" xfId="15"/>
    <cellStyle name="20% - Акцент2 4 2" xfId="16"/>
    <cellStyle name="20% - Акцент2 5" xfId="17"/>
    <cellStyle name="20% - Акцент2 5 2" xfId="18"/>
    <cellStyle name="20% - Акцент2 6" xfId="19"/>
    <cellStyle name="20% - Акцент2 6 2" xfId="20"/>
    <cellStyle name="20% - Акцент3 2" xfId="21"/>
    <cellStyle name="20% - Акцент3 2 2" xfId="22"/>
    <cellStyle name="20% - Акцент3 3" xfId="23"/>
    <cellStyle name="20% - Акцент3 3 2" xfId="24"/>
    <cellStyle name="20% - Акцент3 4" xfId="25"/>
    <cellStyle name="20% - Акцент3 4 2" xfId="26"/>
    <cellStyle name="20% - Акцент3 5" xfId="27"/>
    <cellStyle name="20% - Акцент3 5 2" xfId="28"/>
    <cellStyle name="20% - Акцент3 6" xfId="29"/>
    <cellStyle name="20% - Акцент3 6 2" xfId="30"/>
    <cellStyle name="20% - Акцент4 2" xfId="31"/>
    <cellStyle name="20% - Акцент4 2 2" xfId="32"/>
    <cellStyle name="20% - Акцент4 3" xfId="33"/>
    <cellStyle name="20% - Акцент4 3 2" xfId="34"/>
    <cellStyle name="20% - Акцент4 4" xfId="35"/>
    <cellStyle name="20% - Акцент4 4 2" xfId="36"/>
    <cellStyle name="20% - Акцент4 5" xfId="37"/>
    <cellStyle name="20% - Акцент4 5 2" xfId="38"/>
    <cellStyle name="20% - Акцент4 6" xfId="39"/>
    <cellStyle name="20% - Акцент4 6 2" xfId="40"/>
    <cellStyle name="20% - Акцент5 2" xfId="41"/>
    <cellStyle name="20% - Акцент5 2 2" xfId="42"/>
    <cellStyle name="20% - Акцент5 3" xfId="43"/>
    <cellStyle name="20% - Акцент5 3 2" xfId="44"/>
    <cellStyle name="20% - Акцент5 4" xfId="45"/>
    <cellStyle name="20% - Акцент5 4 2" xfId="46"/>
    <cellStyle name="20% - Акцент5 5" xfId="47"/>
    <cellStyle name="20% - Акцент5 5 2" xfId="48"/>
    <cellStyle name="20% - Акцент5 6" xfId="49"/>
    <cellStyle name="20% - Акцент5 6 2" xfId="50"/>
    <cellStyle name="20% - Акцент6 2" xfId="51"/>
    <cellStyle name="20% - Акцент6 2 2" xfId="52"/>
    <cellStyle name="20% - Акцент6 3" xfId="53"/>
    <cellStyle name="20% - Акцент6 3 2" xfId="54"/>
    <cellStyle name="20% - Акцент6 4" xfId="55"/>
    <cellStyle name="20% - Акцент6 4 2" xfId="56"/>
    <cellStyle name="20% - Акцент6 5" xfId="57"/>
    <cellStyle name="20% - Акцент6 5 2" xfId="58"/>
    <cellStyle name="20% - Акцент6 6" xfId="59"/>
    <cellStyle name="20% - Акцент6 6 2" xfId="60"/>
    <cellStyle name="40% - Акцент1 2" xfId="61"/>
    <cellStyle name="40% - Акцент1 2 2" xfId="62"/>
    <cellStyle name="40% - Акцент1 3" xfId="63"/>
    <cellStyle name="40% - Акцент1 3 2" xfId="64"/>
    <cellStyle name="40% - Акцент1 4" xfId="65"/>
    <cellStyle name="40% - Акцент1 4 2" xfId="66"/>
    <cellStyle name="40% - Акцент1 5" xfId="67"/>
    <cellStyle name="40% - Акцент1 5 2" xfId="68"/>
    <cellStyle name="40% - Акцент1 6" xfId="69"/>
    <cellStyle name="40% - Акцент1 6 2" xfId="70"/>
    <cellStyle name="40% - Акцент2 2" xfId="71"/>
    <cellStyle name="40% - Акцент2 2 2" xfId="72"/>
    <cellStyle name="40% - Акцент2 3" xfId="73"/>
    <cellStyle name="40% - Акцент2 3 2" xfId="74"/>
    <cellStyle name="40% - Акцент2 4" xfId="75"/>
    <cellStyle name="40% - Акцент2 4 2" xfId="76"/>
    <cellStyle name="40% - Акцент2 5" xfId="77"/>
    <cellStyle name="40% - Акцент2 5 2" xfId="78"/>
    <cellStyle name="40% - Акцент2 6" xfId="79"/>
    <cellStyle name="40% - Акцент2 6 2" xfId="80"/>
    <cellStyle name="40% - Акцент3 2" xfId="81"/>
    <cellStyle name="40% - Акцент3 2 2" xfId="82"/>
    <cellStyle name="40% - Акцент3 3" xfId="83"/>
    <cellStyle name="40% - Акцент3 3 2" xfId="84"/>
    <cellStyle name="40% - Акцент3 4" xfId="85"/>
    <cellStyle name="40% - Акцент3 4 2" xfId="86"/>
    <cellStyle name="40% - Акцент3 5" xfId="87"/>
    <cellStyle name="40% - Акцент3 5 2" xfId="88"/>
    <cellStyle name="40% - Акцент3 6" xfId="89"/>
    <cellStyle name="40% - Акцент3 6 2" xfId="90"/>
    <cellStyle name="40% - Акцент4 2" xfId="91"/>
    <cellStyle name="40% - Акцент4 2 2" xfId="92"/>
    <cellStyle name="40% - Акцент4 3" xfId="93"/>
    <cellStyle name="40% - Акцент4 3 2" xfId="94"/>
    <cellStyle name="40% - Акцент4 4" xfId="95"/>
    <cellStyle name="40% - Акцент4 4 2" xfId="96"/>
    <cellStyle name="40% - Акцент4 5" xfId="97"/>
    <cellStyle name="40% - Акцент4 5 2" xfId="98"/>
    <cellStyle name="40% - Акцент4 6" xfId="99"/>
    <cellStyle name="40% - Акцент4 6 2" xfId="100"/>
    <cellStyle name="40% - Акцент5 2" xfId="101"/>
    <cellStyle name="40% - Акцент5 2 2" xfId="102"/>
    <cellStyle name="40% - Акцент5 3" xfId="103"/>
    <cellStyle name="40% - Акцент5 3 2" xfId="104"/>
    <cellStyle name="40% - Акцент5 4" xfId="105"/>
    <cellStyle name="40% - Акцент5 4 2" xfId="106"/>
    <cellStyle name="40% - Акцент5 5" xfId="107"/>
    <cellStyle name="40% - Акцент5 5 2" xfId="108"/>
    <cellStyle name="40% - Акцент5 6" xfId="109"/>
    <cellStyle name="40% - Акцент5 6 2" xfId="110"/>
    <cellStyle name="40% - Акцент6 2" xfId="111"/>
    <cellStyle name="40% - Акцент6 2 2" xfId="112"/>
    <cellStyle name="40% - Акцент6 3" xfId="113"/>
    <cellStyle name="40% - Акцент6 3 2" xfId="114"/>
    <cellStyle name="40% - Акцент6 4" xfId="115"/>
    <cellStyle name="40% - Акцент6 4 2" xfId="116"/>
    <cellStyle name="40% - Акцент6 5" xfId="117"/>
    <cellStyle name="40% - Акцент6 5 2" xfId="118"/>
    <cellStyle name="40% - Акцент6 6" xfId="119"/>
    <cellStyle name="40% - Акцент6 6 2" xfId="120"/>
    <cellStyle name="60% - Акцент1 2" xfId="121"/>
    <cellStyle name="60% - Акцент1 3" xfId="122"/>
    <cellStyle name="60% - Акцент1 4" xfId="123"/>
    <cellStyle name="60% - Акцент1 5" xfId="124"/>
    <cellStyle name="60% - Акцент1 6" xfId="125"/>
    <cellStyle name="60% - Акцент2 2" xfId="126"/>
    <cellStyle name="60% - Акцент2 3" xfId="127"/>
    <cellStyle name="60% - Акцент2 4" xfId="128"/>
    <cellStyle name="60% - Акцент2 5" xfId="129"/>
    <cellStyle name="60% - Акцент2 6" xfId="130"/>
    <cellStyle name="60% - Акцент3 2" xfId="131"/>
    <cellStyle name="60% - Акцент3 3" xfId="132"/>
    <cellStyle name="60% - Акцент3 4" xfId="133"/>
    <cellStyle name="60% - Акцент3 5" xfId="134"/>
    <cellStyle name="60% - Акцент3 6" xfId="135"/>
    <cellStyle name="60% - Акцент4 2" xfId="136"/>
    <cellStyle name="60% - Акцент4 3" xfId="137"/>
    <cellStyle name="60% - Акцент4 4" xfId="138"/>
    <cellStyle name="60% - Акцент4 5" xfId="139"/>
    <cellStyle name="60% - Акцент4 6" xfId="140"/>
    <cellStyle name="60% - Акцент5 2" xfId="141"/>
    <cellStyle name="60% - Акцент5 3" xfId="142"/>
    <cellStyle name="60% - Акцент5 4" xfId="143"/>
    <cellStyle name="60% - Акцент5 5" xfId="144"/>
    <cellStyle name="60% - Акцент5 6" xfId="145"/>
    <cellStyle name="60% - Акцент6 2" xfId="146"/>
    <cellStyle name="60% - Акцент6 3" xfId="147"/>
    <cellStyle name="60% - Акцент6 4" xfId="148"/>
    <cellStyle name="60% - Акцент6 5" xfId="149"/>
    <cellStyle name="60% - Акцент6 6" xfId="150"/>
    <cellStyle name="Акцент1 2" xfId="151"/>
    <cellStyle name="Акцент1 3" xfId="152"/>
    <cellStyle name="Акцент1 4" xfId="153"/>
    <cellStyle name="Акцент1 5" xfId="154"/>
    <cellStyle name="Акцент1 6" xfId="155"/>
    <cellStyle name="Акцент2 2" xfId="156"/>
    <cellStyle name="Акцент2 3" xfId="157"/>
    <cellStyle name="Акцент2 4" xfId="158"/>
    <cellStyle name="Акцент2 5" xfId="159"/>
    <cellStyle name="Акцент2 6" xfId="160"/>
    <cellStyle name="Акцент3 2" xfId="161"/>
    <cellStyle name="Акцент3 3" xfId="162"/>
    <cellStyle name="Акцент3 4" xfId="163"/>
    <cellStyle name="Акцент3 5" xfId="164"/>
    <cellStyle name="Акцент3 6" xfId="165"/>
    <cellStyle name="Акцент4 2" xfId="166"/>
    <cellStyle name="Акцент4 3" xfId="167"/>
    <cellStyle name="Акцент4 4" xfId="168"/>
    <cellStyle name="Акцент4 5" xfId="169"/>
    <cellStyle name="Акцент4 6" xfId="170"/>
    <cellStyle name="Акцент5 2" xfId="171"/>
    <cellStyle name="Акцент5 3" xfId="172"/>
    <cellStyle name="Акцент5 4" xfId="173"/>
    <cellStyle name="Акцент5 5" xfId="174"/>
    <cellStyle name="Акцент5 6" xfId="175"/>
    <cellStyle name="Акцент6 2" xfId="176"/>
    <cellStyle name="Акцент6 3" xfId="177"/>
    <cellStyle name="Акцент6 4" xfId="178"/>
    <cellStyle name="Акцент6 5" xfId="179"/>
    <cellStyle name="Акцент6 6" xfId="180"/>
    <cellStyle name="Ввод  2" xfId="181"/>
    <cellStyle name="Ввод  3" xfId="182"/>
    <cellStyle name="Ввод  4" xfId="183"/>
    <cellStyle name="Ввод  5" xfId="184"/>
    <cellStyle name="Ввод  6" xfId="185"/>
    <cellStyle name="Вывод 2" xfId="186"/>
    <cellStyle name="Вывод 3" xfId="187"/>
    <cellStyle name="Вывод 4" xfId="188"/>
    <cellStyle name="Вывод 5" xfId="189"/>
    <cellStyle name="Вывод 6" xfId="190"/>
    <cellStyle name="Вычисление 2" xfId="191"/>
    <cellStyle name="Вычисление 3" xfId="192"/>
    <cellStyle name="Вычисление 4" xfId="193"/>
    <cellStyle name="Вычисление 5" xfId="194"/>
    <cellStyle name="Вычисление 6" xfId="195"/>
    <cellStyle name="Гиперссылка 2" xfId="196"/>
    <cellStyle name="Заголовок 1 2" xfId="197"/>
    <cellStyle name="Заголовок 1 3" xfId="198"/>
    <cellStyle name="Заголовок 1 4" xfId="199"/>
    <cellStyle name="Заголовок 1 5" xfId="200"/>
    <cellStyle name="Заголовок 1 6" xfId="201"/>
    <cellStyle name="Заголовок 2 2" xfId="202"/>
    <cellStyle name="Заголовок 2 3" xfId="203"/>
    <cellStyle name="Заголовок 2 4" xfId="204"/>
    <cellStyle name="Заголовок 2 5" xfId="205"/>
    <cellStyle name="Заголовок 2 6" xfId="206"/>
    <cellStyle name="Заголовок 3 2" xfId="207"/>
    <cellStyle name="Заголовок 3 3" xfId="208"/>
    <cellStyle name="Заголовок 3 4" xfId="209"/>
    <cellStyle name="Заголовок 3 5" xfId="210"/>
    <cellStyle name="Заголовок 3 6" xfId="211"/>
    <cellStyle name="Заголовок 4 2" xfId="212"/>
    <cellStyle name="Заголовок 4 3" xfId="213"/>
    <cellStyle name="Заголовок 4 4" xfId="214"/>
    <cellStyle name="Заголовок 4 5" xfId="215"/>
    <cellStyle name="Заголовок 4 6" xfId="216"/>
    <cellStyle name="Итог 2" xfId="217"/>
    <cellStyle name="Итог 3" xfId="218"/>
    <cellStyle name="Итог 4" xfId="219"/>
    <cellStyle name="Итог 5" xfId="220"/>
    <cellStyle name="Итог 6" xfId="221"/>
    <cellStyle name="Контрольная ячейка 2" xfId="222"/>
    <cellStyle name="Контрольная ячейка 3" xfId="223"/>
    <cellStyle name="Контрольная ячейка 4" xfId="224"/>
    <cellStyle name="Контрольная ячейка 5" xfId="225"/>
    <cellStyle name="Контрольная ячейка 6" xfId="226"/>
    <cellStyle name="Название 2" xfId="227"/>
    <cellStyle name="Название 3" xfId="228"/>
    <cellStyle name="Название 4" xfId="229"/>
    <cellStyle name="Название 5" xfId="230"/>
    <cellStyle name="Название 6" xfId="231"/>
    <cellStyle name="Нейтральный 2" xfId="232"/>
    <cellStyle name="Нейтральный 3" xfId="233"/>
    <cellStyle name="Нейтральный 4" xfId="234"/>
    <cellStyle name="Нейтральный 5" xfId="235"/>
    <cellStyle name="Нейтральный 6" xfId="236"/>
    <cellStyle name="Обычный" xfId="0" builtinId="0"/>
    <cellStyle name="Обычный 10" xfId="237"/>
    <cellStyle name="Обычный 10 2" xfId="238"/>
    <cellStyle name="Обычный 11" xfId="239"/>
    <cellStyle name="Обычный 12" xfId="240"/>
    <cellStyle name="Обычный 13" xfId="241"/>
    <cellStyle name="Обычный 14" xfId="242"/>
    <cellStyle name="Обычный 15" xfId="243"/>
    <cellStyle name="Обычный 16" xfId="244"/>
    <cellStyle name="Обычный 17" xfId="245"/>
    <cellStyle name="Обычный 18" xfId="246"/>
    <cellStyle name="Обычный 19" xfId="247"/>
    <cellStyle name="Обычный 2" xfId="248"/>
    <cellStyle name="Обычный 2 10" xfId="249"/>
    <cellStyle name="Обычный 2 11" xfId="250"/>
    <cellStyle name="Обычный 2 12" xfId="251"/>
    <cellStyle name="Обычный 2 13" xfId="252"/>
    <cellStyle name="Обычный 2 14" xfId="253"/>
    <cellStyle name="Обычный 2 15" xfId="254"/>
    <cellStyle name="Обычный 2 16" xfId="255"/>
    <cellStyle name="Обычный 2 17" xfId="256"/>
    <cellStyle name="Обычный 2 18" xfId="257"/>
    <cellStyle name="Обычный 2 19" xfId="258"/>
    <cellStyle name="Обычный 2 2" xfId="259"/>
    <cellStyle name="Обычный 2 2 2" xfId="260"/>
    <cellStyle name="Обычный 2 20" xfId="261"/>
    <cellStyle name="Обычный 2 21" xfId="262"/>
    <cellStyle name="Обычный 2 22" xfId="263"/>
    <cellStyle name="Обычный 2 23" xfId="264"/>
    <cellStyle name="Обычный 2 24" xfId="265"/>
    <cellStyle name="Обычный 2 25" xfId="266"/>
    <cellStyle name="Обычный 2 26" xfId="267"/>
    <cellStyle name="Обычный 2 27" xfId="268"/>
    <cellStyle name="Обычный 2 28" xfId="269"/>
    <cellStyle name="Обычный 2 29" xfId="270"/>
    <cellStyle name="Обычный 2 3" xfId="271"/>
    <cellStyle name="Обычный 2 3 2" xfId="272"/>
    <cellStyle name="Обычный 2 30" xfId="273"/>
    <cellStyle name="Обычный 2 31" xfId="274"/>
    <cellStyle name="Обычный 2 32" xfId="275"/>
    <cellStyle name="Обычный 2 33" xfId="276"/>
    <cellStyle name="Обычный 2 34" xfId="277"/>
    <cellStyle name="Обычный 2 35" xfId="278"/>
    <cellStyle name="Обычный 2 36" xfId="279"/>
    <cellStyle name="Обычный 2 37" xfId="280"/>
    <cellStyle name="Обычный 2 38" xfId="281"/>
    <cellStyle name="Обычный 2 39" xfId="282"/>
    <cellStyle name="Обычный 2 4" xfId="283"/>
    <cellStyle name="Обычный 2 40" xfId="284"/>
    <cellStyle name="Обычный 2 41" xfId="285"/>
    <cellStyle name="Обычный 2 42" xfId="286"/>
    <cellStyle name="Обычный 2 43" xfId="287"/>
    <cellStyle name="Обычный 2 44" xfId="288"/>
    <cellStyle name="Обычный 2 45" xfId="289"/>
    <cellStyle name="Обычный 2 46" xfId="290"/>
    <cellStyle name="Обычный 2 47" xfId="291"/>
    <cellStyle name="Обычный 2 48" xfId="292"/>
    <cellStyle name="Обычный 2 49" xfId="293"/>
    <cellStyle name="Обычный 2 5" xfId="294"/>
    <cellStyle name="Обычный 2 50" xfId="295"/>
    <cellStyle name="Обычный 2 51" xfId="296"/>
    <cellStyle name="Обычный 2 52" xfId="297"/>
    <cellStyle name="Обычный 2 53" xfId="298"/>
    <cellStyle name="Обычный 2 54" xfId="299"/>
    <cellStyle name="Обычный 2 55" xfId="300"/>
    <cellStyle name="Обычный 2 56" xfId="301"/>
    <cellStyle name="Обычный 2 57" xfId="302"/>
    <cellStyle name="Обычный 2 58" xfId="303"/>
    <cellStyle name="Обычный 2 6" xfId="304"/>
    <cellStyle name="Обычный 2 7" xfId="305"/>
    <cellStyle name="Обычный 2 8" xfId="306"/>
    <cellStyle name="Обычный 2 9" xfId="307"/>
    <cellStyle name="Обычный 20" xfId="308"/>
    <cellStyle name="Обычный 21" xfId="309"/>
    <cellStyle name="Обычный 22" xfId="310"/>
    <cellStyle name="Обычный 23" xfId="311"/>
    <cellStyle name="Обычный 24" xfId="312"/>
    <cellStyle name="Обычный 25" xfId="313"/>
    <cellStyle name="Обычный 26" xfId="314"/>
    <cellStyle name="Обычный 28" xfId="315"/>
    <cellStyle name="Обычный 29" xfId="316"/>
    <cellStyle name="Обычный 3" xfId="317"/>
    <cellStyle name="Обычный 3 2" xfId="318"/>
    <cellStyle name="Обычный 3 2 2" xfId="319"/>
    <cellStyle name="Обычный 3 3" xfId="320"/>
    <cellStyle name="Обычный 3 3 2" xfId="321"/>
    <cellStyle name="Обычный 30" xfId="322"/>
    <cellStyle name="Обычный 31" xfId="323"/>
    <cellStyle name="Обычный 32" xfId="324"/>
    <cellStyle name="Обычный 33" xfId="325"/>
    <cellStyle name="Обычный 34" xfId="326"/>
    <cellStyle name="Обычный 35" xfId="327"/>
    <cellStyle name="Обычный 36" xfId="328"/>
    <cellStyle name="Обычный 37" xfId="329"/>
    <cellStyle name="Обычный 38" xfId="330"/>
    <cellStyle name="Обычный 39" xfId="331"/>
    <cellStyle name="Обычный 4" xfId="332"/>
    <cellStyle name="Обычный 4 2" xfId="333"/>
    <cellStyle name="Обычный 4 3" xfId="334"/>
    <cellStyle name="Обычный 40" xfId="335"/>
    <cellStyle name="Обычный 41" xfId="336"/>
    <cellStyle name="Обычный 42" xfId="337"/>
    <cellStyle name="Обычный 43" xfId="338"/>
    <cellStyle name="Обычный 44" xfId="339"/>
    <cellStyle name="Обычный 45" xfId="340"/>
    <cellStyle name="Обычный 46" xfId="341"/>
    <cellStyle name="Обычный 47" xfId="342"/>
    <cellStyle name="Обычный 48" xfId="343"/>
    <cellStyle name="Обычный 49" xfId="344"/>
    <cellStyle name="Обычный 5" xfId="345"/>
    <cellStyle name="Обычный 5 2" xfId="346"/>
    <cellStyle name="Обычный 50" xfId="347"/>
    <cellStyle name="Обычный 52" xfId="348"/>
    <cellStyle name="Обычный 53" xfId="349"/>
    <cellStyle name="Обычный 6" xfId="350"/>
    <cellStyle name="Обычный 6 2" xfId="351"/>
    <cellStyle name="Обычный 7" xfId="352"/>
    <cellStyle name="Обычный 7 2" xfId="353"/>
    <cellStyle name="Обычный 8" xfId="354"/>
    <cellStyle name="Обычный 8 2" xfId="355"/>
    <cellStyle name="Обычный 8 3" xfId="356"/>
    <cellStyle name="Обычный 9" xfId="357"/>
    <cellStyle name="Плохой 2" xfId="358"/>
    <cellStyle name="Плохой 3" xfId="359"/>
    <cellStyle name="Плохой 4" xfId="360"/>
    <cellStyle name="Плохой 5" xfId="361"/>
    <cellStyle name="Плохой 6" xfId="362"/>
    <cellStyle name="Пояснение 2" xfId="363"/>
    <cellStyle name="Пояснение 3" xfId="364"/>
    <cellStyle name="Пояснение 4" xfId="365"/>
    <cellStyle name="Пояснение 5" xfId="366"/>
    <cellStyle name="Пояснение 6" xfId="367"/>
    <cellStyle name="Примечание 2" xfId="368"/>
    <cellStyle name="Примечание 3" xfId="369"/>
    <cellStyle name="Примечание 4" xfId="370"/>
    <cellStyle name="Примечание 5" xfId="371"/>
    <cellStyle name="Примечание 6" xfId="372"/>
    <cellStyle name="Процентный 2" xfId="373"/>
    <cellStyle name="Процентный 3" xfId="374"/>
    <cellStyle name="Процентный 4" xfId="375"/>
    <cellStyle name="Процентный 5" xfId="376"/>
    <cellStyle name="Процентный 6" xfId="377"/>
    <cellStyle name="Связанная ячейка 2" xfId="378"/>
    <cellStyle name="Связанная ячейка 3" xfId="379"/>
    <cellStyle name="Связанная ячейка 4" xfId="380"/>
    <cellStyle name="Связанная ячейка 5" xfId="381"/>
    <cellStyle name="Связанная ячейка 6" xfId="382"/>
    <cellStyle name="Стиль 1" xfId="383"/>
    <cellStyle name="Стиль 1 2" xfId="384"/>
    <cellStyle name="Текст предупреждения 2" xfId="385"/>
    <cellStyle name="Текст предупреждения 3" xfId="386"/>
    <cellStyle name="Текст предупреждения 4" xfId="387"/>
    <cellStyle name="Текст предупреждения 5" xfId="388"/>
    <cellStyle name="Текст предупреждения 6" xfId="389"/>
    <cellStyle name="Финансовый 2" xfId="390"/>
    <cellStyle name="Финансовый 2 2" xfId="391"/>
    <cellStyle name="Финансовый 2 3" xfId="392"/>
    <cellStyle name="Финансовый 3" xfId="393"/>
    <cellStyle name="Финансовый 3 2" xfId="394"/>
    <cellStyle name="Финансовый 3 3" xfId="395"/>
    <cellStyle name="Финансовый 4" xfId="396"/>
    <cellStyle name="Финансовый 4 2" xfId="397"/>
    <cellStyle name="Финансовый 4 3" xfId="398"/>
    <cellStyle name="Хороший 2" xfId="399"/>
    <cellStyle name="Хороший 3" xfId="400"/>
    <cellStyle name="Хороший 4" xfId="401"/>
    <cellStyle name="Хороший 5" xfId="402"/>
    <cellStyle name="Хороший 6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2:S71"/>
  <sheetViews>
    <sheetView tabSelected="1" view="pageBreakPreview" zoomScale="90" zoomScaleNormal="100" zoomScaleSheetLayoutView="90" workbookViewId="0">
      <pane ySplit="6" topLeftCell="A7" activePane="bottomLeft" state="frozen"/>
      <selection pane="bottomLeft" activeCell="M35" sqref="M35"/>
    </sheetView>
  </sheetViews>
  <sheetFormatPr defaultRowHeight="15" outlineLevelRow="1"/>
  <cols>
    <col min="1" max="1" width="5.5703125" customWidth="1"/>
    <col min="2" max="2" width="64.140625" customWidth="1"/>
    <col min="3" max="3" width="16.7109375" customWidth="1"/>
    <col min="4" max="4" width="14.7109375" customWidth="1"/>
    <col min="5" max="5" width="9" customWidth="1"/>
    <col min="6" max="6" width="8.7109375" customWidth="1"/>
    <col min="7" max="7" width="7" style="2" customWidth="1"/>
    <col min="8" max="8" width="8.85546875" style="2" customWidth="1"/>
    <col min="9" max="9" width="7.5703125" style="2" customWidth="1"/>
    <col min="10" max="10" width="9.5703125" style="2" customWidth="1"/>
    <col min="11" max="11" width="7.28515625" customWidth="1"/>
    <col min="12" max="12" width="10.42578125" customWidth="1"/>
    <col min="13" max="13" width="6.7109375" style="123" customWidth="1"/>
    <col min="14" max="14" width="45.140625" customWidth="1"/>
    <col min="15" max="15" width="15.42578125" customWidth="1"/>
  </cols>
  <sheetData>
    <row r="2" spans="1:19" ht="19.5" thickBot="1">
      <c r="A2" s="517" t="s">
        <v>633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113"/>
      <c r="P2" s="113"/>
      <c r="Q2" s="113"/>
      <c r="R2" s="113"/>
      <c r="S2" s="113"/>
    </row>
    <row r="3" spans="1:19" ht="17.25" customHeight="1">
      <c r="A3" s="522" t="s">
        <v>224</v>
      </c>
      <c r="B3" s="523" t="s">
        <v>225</v>
      </c>
      <c r="C3" s="527" t="s">
        <v>412</v>
      </c>
      <c r="D3" s="528"/>
      <c r="E3" s="529"/>
      <c r="F3" s="526" t="s">
        <v>406</v>
      </c>
      <c r="G3" s="526"/>
      <c r="H3" s="516" t="s">
        <v>403</v>
      </c>
      <c r="I3" s="516"/>
      <c r="J3" s="516" t="s">
        <v>404</v>
      </c>
      <c r="K3" s="516"/>
      <c r="L3" s="533" t="s">
        <v>408</v>
      </c>
      <c r="M3" s="514" t="s">
        <v>409</v>
      </c>
      <c r="N3" s="515" t="s">
        <v>410</v>
      </c>
    </row>
    <row r="4" spans="1:19" ht="5.25" customHeight="1">
      <c r="A4" s="522"/>
      <c r="B4" s="524"/>
      <c r="C4" s="530"/>
      <c r="D4" s="531"/>
      <c r="E4" s="532"/>
      <c r="F4" s="526"/>
      <c r="G4" s="526"/>
      <c r="H4" s="516"/>
      <c r="I4" s="516"/>
      <c r="J4" s="516"/>
      <c r="K4" s="516"/>
      <c r="L4" s="534"/>
      <c r="M4" s="514"/>
      <c r="N4" s="515"/>
    </row>
    <row r="5" spans="1:19" ht="15" customHeight="1">
      <c r="A5" s="522"/>
      <c r="B5" s="524"/>
      <c r="C5" s="520" t="s">
        <v>4</v>
      </c>
      <c r="D5" s="520" t="s">
        <v>5</v>
      </c>
      <c r="E5" s="518" t="s">
        <v>411</v>
      </c>
      <c r="F5" s="526" t="s">
        <v>407</v>
      </c>
      <c r="G5" s="526" t="s">
        <v>413</v>
      </c>
      <c r="H5" s="516" t="s">
        <v>407</v>
      </c>
      <c r="I5" s="526" t="s">
        <v>413</v>
      </c>
      <c r="J5" s="516" t="s">
        <v>407</v>
      </c>
      <c r="K5" s="526" t="s">
        <v>413</v>
      </c>
      <c r="L5" s="534"/>
      <c r="M5" s="514"/>
      <c r="N5" s="515"/>
    </row>
    <row r="6" spans="1:19" ht="7.5" customHeight="1">
      <c r="A6" s="522"/>
      <c r="B6" s="525"/>
      <c r="C6" s="521"/>
      <c r="D6" s="521"/>
      <c r="E6" s="519"/>
      <c r="F6" s="526"/>
      <c r="G6" s="526"/>
      <c r="H6" s="516"/>
      <c r="I6" s="526"/>
      <c r="J6" s="516"/>
      <c r="K6" s="526"/>
      <c r="L6" s="535"/>
      <c r="M6" s="514"/>
      <c r="N6" s="515"/>
    </row>
    <row r="7" spans="1:19" s="361" customFormat="1" ht="32.25" customHeight="1" collapsed="1">
      <c r="A7" s="357">
        <v>1</v>
      </c>
      <c r="B7" s="460" t="s">
        <v>191</v>
      </c>
      <c r="C7" s="150">
        <f>Финансы!J7</f>
        <v>721597.8</v>
      </c>
      <c r="D7" s="150">
        <f>Финансы!K7</f>
        <v>713975.6</v>
      </c>
      <c r="E7" s="99">
        <f>Финансы!L7</f>
        <v>98.943705205309655</v>
      </c>
      <c r="F7" s="358" t="s">
        <v>133</v>
      </c>
      <c r="G7" s="358" t="s">
        <v>133</v>
      </c>
      <c r="H7" s="428">
        <f>Финансы!N7</f>
        <v>1</v>
      </c>
      <c r="I7" s="359">
        <v>9</v>
      </c>
      <c r="J7" s="428">
        <f>Финансы!O7</f>
        <v>1.0000000000000002</v>
      </c>
      <c r="K7" s="359">
        <v>10</v>
      </c>
      <c r="L7" s="511">
        <f>(G8*D8+G9*D9+G10*D10)/D7</f>
        <v>8.9999993697263605</v>
      </c>
      <c r="M7" s="428">
        <f>I7+K7+L7</f>
        <v>27.99999936972636</v>
      </c>
      <c r="N7" s="360" t="str">
        <f>IF(M8&gt;=9,"высокоэффективная","уточнить")</f>
        <v>высокоэффективная</v>
      </c>
    </row>
    <row r="8" spans="1:19" s="364" customFormat="1" ht="57" hidden="1" customHeight="1" outlineLevel="1">
      <c r="A8" s="362" t="s">
        <v>59</v>
      </c>
      <c r="B8" s="114" t="s">
        <v>226</v>
      </c>
      <c r="C8" s="267">
        <f>Финансы!J13</f>
        <v>673606</v>
      </c>
      <c r="D8" s="267">
        <f>Финансы!K13</f>
        <v>666521.81999999995</v>
      </c>
      <c r="E8" s="268">
        <f>Финансы!L13</f>
        <v>98.948319937767764</v>
      </c>
      <c r="F8" s="269">
        <f>Финансы!M13</f>
        <v>1</v>
      </c>
      <c r="G8" s="258">
        <v>9</v>
      </c>
      <c r="H8" s="363"/>
      <c r="I8" s="258"/>
      <c r="J8" s="363"/>
      <c r="K8" s="258"/>
      <c r="L8" s="258"/>
      <c r="M8" s="473">
        <v>9</v>
      </c>
      <c r="N8" s="325" t="str">
        <f>IF(M8&gt;=9,"эффективная","уточнить")</f>
        <v>эффективная</v>
      </c>
    </row>
    <row r="9" spans="1:19" s="364" customFormat="1" ht="32.25" hidden="1" customHeight="1" outlineLevel="1">
      <c r="A9" s="362" t="s">
        <v>60</v>
      </c>
      <c r="B9" s="114" t="s">
        <v>277</v>
      </c>
      <c r="C9" s="267">
        <f>Финансы!J17</f>
        <v>0</v>
      </c>
      <c r="D9" s="267">
        <f>Финансы!K17</f>
        <v>0</v>
      </c>
      <c r="E9" s="268">
        <f>Финансы!L17</f>
        <v>100</v>
      </c>
      <c r="F9" s="269">
        <f>Финансы!M17</f>
        <v>1</v>
      </c>
      <c r="G9" s="258">
        <v>9</v>
      </c>
      <c r="H9" s="363"/>
      <c r="I9" s="258"/>
      <c r="J9" s="363"/>
      <c r="K9" s="258"/>
      <c r="L9" s="258"/>
      <c r="M9" s="473">
        <v>9</v>
      </c>
      <c r="N9" s="325" t="str">
        <f t="shared" ref="N9:N10" si="0">IF(M9&gt;=9,"эффективная","уточнить")</f>
        <v>эффективная</v>
      </c>
    </row>
    <row r="10" spans="1:19" s="364" customFormat="1" ht="30.75" hidden="1" customHeight="1" outlineLevel="1">
      <c r="A10" s="362" t="s">
        <v>62</v>
      </c>
      <c r="B10" s="114" t="s">
        <v>227</v>
      </c>
      <c r="C10" s="365">
        <f>Финансы!J23</f>
        <v>47991.8</v>
      </c>
      <c r="D10" s="365">
        <f>Финансы!K23</f>
        <v>47453.73</v>
      </c>
      <c r="E10" s="366">
        <f>Финансы!L23</f>
        <v>98.878829300005421</v>
      </c>
      <c r="F10" s="269">
        <f>Финансы!M23</f>
        <v>1</v>
      </c>
      <c r="G10" s="258">
        <v>9</v>
      </c>
      <c r="H10" s="363"/>
      <c r="I10" s="258"/>
      <c r="J10" s="363"/>
      <c r="K10" s="258"/>
      <c r="L10" s="258"/>
      <c r="M10" s="473">
        <v>9</v>
      </c>
      <c r="N10" s="325" t="str">
        <f t="shared" si="0"/>
        <v>эффективная</v>
      </c>
    </row>
    <row r="11" spans="1:19" s="364" customFormat="1" ht="30" customHeight="1" collapsed="1">
      <c r="A11" s="367" t="s">
        <v>228</v>
      </c>
      <c r="B11" s="461" t="s">
        <v>106</v>
      </c>
      <c r="C11" s="368">
        <f>Образование!J7</f>
        <v>2417524.2000000002</v>
      </c>
      <c r="D11" s="368">
        <f>Образование!K7</f>
        <v>2369679.2999999998</v>
      </c>
      <c r="E11" s="369">
        <f>Образование!L7</f>
        <v>98.020913296338435</v>
      </c>
      <c r="F11" s="370" t="s">
        <v>133</v>
      </c>
      <c r="G11" s="370" t="s">
        <v>133</v>
      </c>
      <c r="H11" s="436">
        <f>Образование!N7</f>
        <v>1</v>
      </c>
      <c r="I11" s="372">
        <v>9</v>
      </c>
      <c r="J11" s="436">
        <f>Образование!O7</f>
        <v>0.92527209586056669</v>
      </c>
      <c r="K11" s="372">
        <v>10</v>
      </c>
      <c r="L11" s="373">
        <f>(G12*D12+G13*D13+G14*D14)/D11</f>
        <v>9.0173591000267432</v>
      </c>
      <c r="M11" s="436">
        <f>ROUNDDOWN(L11+K11+I11,0)</f>
        <v>28</v>
      </c>
      <c r="N11" s="374" t="s">
        <v>314</v>
      </c>
    </row>
    <row r="12" spans="1:19" s="364" customFormat="1" ht="33" hidden="1" customHeight="1" outlineLevel="1">
      <c r="A12" s="362" t="s">
        <v>19</v>
      </c>
      <c r="B12" s="114" t="s">
        <v>229</v>
      </c>
      <c r="C12" s="267">
        <f>Образование!J13</f>
        <v>2351803.7000000002</v>
      </c>
      <c r="D12" s="267">
        <f>Образование!K13</f>
        <v>2304747.5</v>
      </c>
      <c r="E12" s="268">
        <f>Образование!L13</f>
        <v>97.999144231297862</v>
      </c>
      <c r="F12" s="269">
        <f>Образование!M13</f>
        <v>0.90167381034285055</v>
      </c>
      <c r="G12" s="195">
        <v>9</v>
      </c>
      <c r="H12" s="268"/>
      <c r="I12" s="195"/>
      <c r="J12" s="268"/>
      <c r="K12" s="195"/>
      <c r="L12" s="195"/>
      <c r="M12" s="406">
        <v>9</v>
      </c>
      <c r="N12" s="376" t="s">
        <v>313</v>
      </c>
    </row>
    <row r="13" spans="1:19" s="364" customFormat="1" ht="30" hidden="1" customHeight="1" outlineLevel="1">
      <c r="A13" s="362" t="s">
        <v>21</v>
      </c>
      <c r="B13" s="114" t="s">
        <v>230</v>
      </c>
      <c r="C13" s="267">
        <f>Образование!J34</f>
        <v>41730.400000000001</v>
      </c>
      <c r="D13" s="267">
        <f>Образование!K34</f>
        <v>41135.5</v>
      </c>
      <c r="E13" s="268">
        <f>Образование!L34</f>
        <v>98.574420566301782</v>
      </c>
      <c r="F13" s="434">
        <f>Образование!M34</f>
        <v>1</v>
      </c>
      <c r="G13" s="195">
        <v>10</v>
      </c>
      <c r="H13" s="268"/>
      <c r="I13" s="195"/>
      <c r="J13" s="268"/>
      <c r="K13" s="195"/>
      <c r="L13" s="195"/>
      <c r="M13" s="406">
        <v>9</v>
      </c>
      <c r="N13" s="376" t="s">
        <v>313</v>
      </c>
    </row>
    <row r="14" spans="1:19" s="364" customFormat="1" ht="21" hidden="1" customHeight="1" outlineLevel="1">
      <c r="A14" s="362" t="s">
        <v>99</v>
      </c>
      <c r="B14" s="114" t="s">
        <v>231</v>
      </c>
      <c r="C14" s="267">
        <f>Образование!J39</f>
        <v>23990.1</v>
      </c>
      <c r="D14" s="267">
        <f>Образование!K39</f>
        <v>23796.3</v>
      </c>
      <c r="E14" s="268">
        <f>Образование!L39</f>
        <v>99.192166768792134</v>
      </c>
      <c r="F14" s="435">
        <f>Образование!M39</f>
        <v>1</v>
      </c>
      <c r="G14" s="195">
        <v>9</v>
      </c>
      <c r="H14" s="268"/>
      <c r="I14" s="195"/>
      <c r="J14" s="268"/>
      <c r="K14" s="195"/>
      <c r="L14" s="195"/>
      <c r="M14" s="406">
        <v>9</v>
      </c>
      <c r="N14" s="376" t="s">
        <v>313</v>
      </c>
    </row>
    <row r="15" spans="1:19" s="361" customFormat="1" ht="32.25" customHeight="1" collapsed="1">
      <c r="A15" s="357" t="s">
        <v>232</v>
      </c>
      <c r="B15" s="462" t="s">
        <v>505</v>
      </c>
      <c r="C15" s="150">
        <f>СОНКО!J6</f>
        <v>400</v>
      </c>
      <c r="D15" s="150">
        <f>СОНКО!K6</f>
        <v>400</v>
      </c>
      <c r="E15" s="99">
        <f>СОНКО!L6</f>
        <v>100</v>
      </c>
      <c r="F15" s="387" t="s">
        <v>133</v>
      </c>
      <c r="G15" s="387" t="s">
        <v>133</v>
      </c>
      <c r="H15" s="378">
        <f>СОНКО!N6</f>
        <v>0.98888888888888893</v>
      </c>
      <c r="I15" s="377">
        <v>9</v>
      </c>
      <c r="J15" s="378">
        <f>СОНКО!O6</f>
        <v>1</v>
      </c>
      <c r="K15" s="377">
        <v>10</v>
      </c>
      <c r="L15" s="379">
        <f>G16*D16/D15</f>
        <v>9</v>
      </c>
      <c r="M15" s="378">
        <f>L15+K15+I15</f>
        <v>28</v>
      </c>
      <c r="N15" s="360" t="s">
        <v>314</v>
      </c>
    </row>
    <row r="16" spans="1:19" s="380" customFormat="1" ht="15" hidden="1" customHeight="1" outlineLevel="1">
      <c r="A16" s="362" t="s">
        <v>23</v>
      </c>
      <c r="B16" s="114" t="s">
        <v>242</v>
      </c>
      <c r="C16" s="269">
        <f>СОНКО!J6</f>
        <v>400</v>
      </c>
      <c r="D16" s="269">
        <f>СОНКО!K6</f>
        <v>400</v>
      </c>
      <c r="E16" s="268">
        <f>СОНКО!L6</f>
        <v>100</v>
      </c>
      <c r="F16" s="269">
        <f>СОНКО!M6</f>
        <v>1</v>
      </c>
      <c r="G16" s="195">
        <v>9</v>
      </c>
      <c r="H16" s="268"/>
      <c r="I16" s="195"/>
      <c r="J16" s="268"/>
      <c r="K16" s="195"/>
      <c r="L16" s="195"/>
      <c r="M16" s="100">
        <f>G16</f>
        <v>9</v>
      </c>
      <c r="N16" s="376" t="s">
        <v>313</v>
      </c>
    </row>
    <row r="17" spans="1:14" s="383" customFormat="1" ht="15" customHeight="1" collapsed="1">
      <c r="A17" s="367" t="s">
        <v>234</v>
      </c>
      <c r="B17" s="463" t="s">
        <v>235</v>
      </c>
      <c r="C17" s="368">
        <f>Культура!J6</f>
        <v>674377.2</v>
      </c>
      <c r="D17" s="368">
        <f>Культура!K6</f>
        <v>660051.14</v>
      </c>
      <c r="E17" s="369">
        <f>Культура!L6</f>
        <v>97.875660683664876</v>
      </c>
      <c r="F17" s="381" t="s">
        <v>133</v>
      </c>
      <c r="G17" s="370" t="s">
        <v>133</v>
      </c>
      <c r="H17" s="406">
        <f>Культура!N6</f>
        <v>0.97724510717614166</v>
      </c>
      <c r="I17" s="382">
        <v>9</v>
      </c>
      <c r="J17" s="406">
        <f>Культура!O6</f>
        <v>0.99999999999999978</v>
      </c>
      <c r="K17" s="375">
        <v>10</v>
      </c>
      <c r="L17" s="382">
        <f>(G18*D18+G19*D19+G20*D20+G21*D21)/D17</f>
        <v>9</v>
      </c>
      <c r="M17" s="406">
        <f>L17+K17+I17</f>
        <v>28</v>
      </c>
      <c r="N17" s="374" t="s">
        <v>314</v>
      </c>
    </row>
    <row r="18" spans="1:14" s="364" customFormat="1" hidden="1" outlineLevel="1">
      <c r="A18" s="362" t="s">
        <v>28</v>
      </c>
      <c r="B18" s="114" t="s">
        <v>236</v>
      </c>
      <c r="C18" s="384">
        <f>Культура!J14</f>
        <v>166280.1</v>
      </c>
      <c r="D18" s="384">
        <f>Культура!K14</f>
        <v>166279.03</v>
      </c>
      <c r="E18" s="363">
        <f>Культура!L14</f>
        <v>99.999356507483455</v>
      </c>
      <c r="F18" s="423">
        <f>Культура!M14</f>
        <v>1</v>
      </c>
      <c r="G18" s="258">
        <v>9</v>
      </c>
      <c r="H18" s="363"/>
      <c r="I18" s="258"/>
      <c r="J18" s="363"/>
      <c r="K18" s="258"/>
      <c r="L18" s="258"/>
      <c r="M18" s="406">
        <v>9</v>
      </c>
      <c r="N18" s="325" t="s">
        <v>313</v>
      </c>
    </row>
    <row r="19" spans="1:14" s="364" customFormat="1" ht="15" hidden="1" customHeight="1" outlineLevel="1">
      <c r="A19" s="362" t="s">
        <v>159</v>
      </c>
      <c r="B19" s="114" t="s">
        <v>237</v>
      </c>
      <c r="C19" s="384">
        <f>Культура!J19</f>
        <v>24294.89</v>
      </c>
      <c r="D19" s="384">
        <f>Культура!K19</f>
        <v>23392.61</v>
      </c>
      <c r="E19" s="363">
        <f>Культура!L19</f>
        <v>96.286132598254198</v>
      </c>
      <c r="F19" s="423">
        <f>Культура!M19</f>
        <v>1</v>
      </c>
      <c r="G19" s="258">
        <v>9</v>
      </c>
      <c r="H19" s="363"/>
      <c r="I19" s="258"/>
      <c r="J19" s="363"/>
      <c r="K19" s="258"/>
      <c r="L19" s="258"/>
      <c r="M19" s="406">
        <v>9</v>
      </c>
      <c r="N19" s="325" t="s">
        <v>313</v>
      </c>
    </row>
    <row r="20" spans="1:14" s="364" customFormat="1" hidden="1" outlineLevel="1">
      <c r="A20" s="362" t="s">
        <v>162</v>
      </c>
      <c r="B20" s="114" t="s">
        <v>238</v>
      </c>
      <c r="C20" s="384">
        <f>Культура!J23</f>
        <v>321185.91999999998</v>
      </c>
      <c r="D20" s="384">
        <f>Культура!K23</f>
        <v>320599.64</v>
      </c>
      <c r="E20" s="363">
        <f>Культура!L23</f>
        <v>99.817463978495695</v>
      </c>
      <c r="F20" s="423">
        <f>Культура!M23</f>
        <v>1</v>
      </c>
      <c r="G20" s="258">
        <v>9</v>
      </c>
      <c r="H20" s="363"/>
      <c r="I20" s="258"/>
      <c r="J20" s="363"/>
      <c r="K20" s="258"/>
      <c r="L20" s="258"/>
      <c r="M20" s="406">
        <v>9</v>
      </c>
      <c r="N20" s="325" t="s">
        <v>313</v>
      </c>
    </row>
    <row r="21" spans="1:14" s="364" customFormat="1" ht="15" hidden="1" customHeight="1" outlineLevel="1">
      <c r="A21" s="385" t="s">
        <v>164</v>
      </c>
      <c r="B21" s="114" t="s">
        <v>239</v>
      </c>
      <c r="C21" s="384">
        <f>Культура!J31</f>
        <v>162616.29999999999</v>
      </c>
      <c r="D21" s="384">
        <f>Культура!K31</f>
        <v>149779.85999999999</v>
      </c>
      <c r="E21" s="363">
        <f>Культура!L31</f>
        <v>92.106301766797046</v>
      </c>
      <c r="F21" s="423">
        <f>Культура!M31</f>
        <v>0.98833333333333329</v>
      </c>
      <c r="G21" s="258">
        <v>9</v>
      </c>
      <c r="H21" s="363"/>
      <c r="I21" s="258"/>
      <c r="J21" s="363"/>
      <c r="K21" s="258"/>
      <c r="L21" s="258"/>
      <c r="M21" s="406">
        <v>9</v>
      </c>
      <c r="N21" s="325" t="s">
        <v>313</v>
      </c>
    </row>
    <row r="22" spans="1:14" s="361" customFormat="1" collapsed="1">
      <c r="A22" s="357" t="s">
        <v>240</v>
      </c>
      <c r="B22" s="462" t="s">
        <v>241</v>
      </c>
      <c r="C22" s="378">
        <f>Молодежь!J6</f>
        <v>32900.69</v>
      </c>
      <c r="D22" s="378">
        <f>Молодежь!K6</f>
        <v>32822.480000000003</v>
      </c>
      <c r="E22" s="99">
        <f>Молодежь!L6</f>
        <v>99.762284620778473</v>
      </c>
      <c r="F22" s="386" t="s">
        <v>133</v>
      </c>
      <c r="G22" s="387" t="s">
        <v>133</v>
      </c>
      <c r="H22" s="378">
        <f>Молодежь!N6</f>
        <v>1</v>
      </c>
      <c r="I22" s="377">
        <v>9</v>
      </c>
      <c r="J22" s="472">
        <f>Молодежь!O6</f>
        <v>0.88800000000000001</v>
      </c>
      <c r="K22" s="377">
        <v>7</v>
      </c>
      <c r="L22" s="379">
        <f>G23*D23/D22</f>
        <v>6</v>
      </c>
      <c r="M22" s="378">
        <f>L22+K22+I22</f>
        <v>22</v>
      </c>
      <c r="N22" s="360" t="s">
        <v>313</v>
      </c>
    </row>
    <row r="23" spans="1:14" s="364" customFormat="1" ht="15" hidden="1" customHeight="1" outlineLevel="1">
      <c r="A23" s="362" t="s">
        <v>205</v>
      </c>
      <c r="B23" s="114" t="s">
        <v>242</v>
      </c>
      <c r="C23" s="423">
        <f>C22</f>
        <v>32900.69</v>
      </c>
      <c r="D23" s="423">
        <f>D22</f>
        <v>32822.480000000003</v>
      </c>
      <c r="E23" s="363">
        <f>E22</f>
        <v>99.762284620778473</v>
      </c>
      <c r="F23" s="423">
        <f>Молодежь!M6</f>
        <v>0.86</v>
      </c>
      <c r="G23" s="258">
        <v>6</v>
      </c>
      <c r="H23" s="363"/>
      <c r="I23" s="258"/>
      <c r="J23" s="363"/>
      <c r="K23" s="258"/>
      <c r="L23" s="258"/>
      <c r="M23" s="378">
        <v>6</v>
      </c>
      <c r="N23" s="325" t="s">
        <v>322</v>
      </c>
    </row>
    <row r="24" spans="1:14" s="364" customFormat="1" ht="28.5" customHeight="1" collapsed="1">
      <c r="A24" s="367" t="s">
        <v>243</v>
      </c>
      <c r="B24" s="464" t="s">
        <v>192</v>
      </c>
      <c r="C24" s="368">
        <f>'Физическая культура'!J6</f>
        <v>128679.2</v>
      </c>
      <c r="D24" s="368">
        <f>'Физическая культура'!K6</f>
        <v>126059.24</v>
      </c>
      <c r="E24" s="369">
        <f>'Физическая культура'!L6</f>
        <v>97.96395998731731</v>
      </c>
      <c r="F24" s="381" t="s">
        <v>133</v>
      </c>
      <c r="G24" s="388" t="s">
        <v>133</v>
      </c>
      <c r="H24" s="406">
        <f>'Физическая культура'!N6</f>
        <v>0.99572649572649574</v>
      </c>
      <c r="I24" s="375">
        <v>9</v>
      </c>
      <c r="J24" s="437">
        <f>'Физическая культура'!O6</f>
        <v>0.9</v>
      </c>
      <c r="K24" s="389">
        <v>10</v>
      </c>
      <c r="L24" s="375">
        <f>G25*D24/D24</f>
        <v>6</v>
      </c>
      <c r="M24" s="474">
        <f>I24+K24+L24</f>
        <v>25</v>
      </c>
      <c r="N24" s="360" t="s">
        <v>313</v>
      </c>
    </row>
    <row r="25" spans="1:14" s="364" customFormat="1" ht="21" hidden="1" customHeight="1" outlineLevel="1">
      <c r="A25" s="362" t="s">
        <v>329</v>
      </c>
      <c r="B25" s="132" t="s">
        <v>327</v>
      </c>
      <c r="C25" s="267">
        <f>C24</f>
        <v>128679.2</v>
      </c>
      <c r="D25" s="267">
        <f t="shared" ref="D25:E25" si="1">D24</f>
        <v>126059.24</v>
      </c>
      <c r="E25" s="268">
        <f t="shared" si="1"/>
        <v>97.96395998731731</v>
      </c>
      <c r="F25" s="269">
        <f>'Физическая культура'!M6</f>
        <v>0.8571428571428571</v>
      </c>
      <c r="G25" s="195">
        <v>6</v>
      </c>
      <c r="H25" s="183"/>
      <c r="I25" s="291"/>
      <c r="J25" s="183"/>
      <c r="K25" s="270"/>
      <c r="L25" s="291"/>
      <c r="M25" s="475">
        <f>G25</f>
        <v>6</v>
      </c>
      <c r="N25" s="325" t="s">
        <v>322</v>
      </c>
    </row>
    <row r="26" spans="1:14" s="361" customFormat="1" ht="33" customHeight="1" collapsed="1">
      <c r="A26" s="357" t="s">
        <v>244</v>
      </c>
      <c r="B26" s="462" t="s">
        <v>548</v>
      </c>
      <c r="C26" s="150">
        <f>'Отрасли экономики'!J6</f>
        <v>108363.29</v>
      </c>
      <c r="D26" s="150">
        <f>'Отрасли экономики'!K6</f>
        <v>102319.89</v>
      </c>
      <c r="E26" s="99">
        <f>'Отрасли экономики'!L6</f>
        <v>94.42301908699892</v>
      </c>
      <c r="F26" s="386" t="s">
        <v>133</v>
      </c>
      <c r="G26" s="386" t="s">
        <v>133</v>
      </c>
      <c r="H26" s="378">
        <f>'Отрасли экономики'!N6</f>
        <v>1</v>
      </c>
      <c r="I26" s="377">
        <v>9</v>
      </c>
      <c r="J26" s="378">
        <f>'Отрасли экономики'!O6</f>
        <v>0.89384657994395167</v>
      </c>
      <c r="K26" s="377">
        <v>7</v>
      </c>
      <c r="L26" s="379">
        <f>(G27*D27+G28*D28+G29*D29)/D26</f>
        <v>9.0078125572652592</v>
      </c>
      <c r="M26" s="378">
        <f>ROUNDDOWN(L26+K26+I26,0)</f>
        <v>25</v>
      </c>
      <c r="N26" s="360" t="s">
        <v>313</v>
      </c>
    </row>
    <row r="27" spans="1:14" s="361" customFormat="1" ht="38.25" hidden="1" outlineLevel="1">
      <c r="A27" s="362" t="s">
        <v>460</v>
      </c>
      <c r="B27" s="114" t="s">
        <v>493</v>
      </c>
      <c r="C27" s="297">
        <f>'Отрасли экономики'!J26</f>
        <v>3788.38</v>
      </c>
      <c r="D27" s="297">
        <f>'Отрасли экономики'!K26</f>
        <v>2799.38</v>
      </c>
      <c r="E27" s="414">
        <f>'Отрасли экономики'!L26</f>
        <v>73.893854365190407</v>
      </c>
      <c r="F27" s="224">
        <v>1</v>
      </c>
      <c r="G27" s="392">
        <v>10</v>
      </c>
      <c r="H27" s="183"/>
      <c r="I27" s="291"/>
      <c r="J27" s="183"/>
      <c r="K27" s="291"/>
      <c r="L27" s="393"/>
      <c r="M27" s="378">
        <v>9</v>
      </c>
      <c r="N27" s="376" t="s">
        <v>313</v>
      </c>
    </row>
    <row r="28" spans="1:14" s="364" customFormat="1" ht="22.5" hidden="1" customHeight="1" outlineLevel="1">
      <c r="A28" s="362" t="s">
        <v>459</v>
      </c>
      <c r="B28" s="114" t="s">
        <v>246</v>
      </c>
      <c r="C28" s="267">
        <f>'Отрасли экономики'!J21</f>
        <v>101947.01</v>
      </c>
      <c r="D28" s="267">
        <f>'Отрасли экономики'!K21</f>
        <v>98520.51</v>
      </c>
      <c r="E28" s="268">
        <f>'Отрасли экономики'!L21</f>
        <v>96.638940170977065</v>
      </c>
      <c r="F28" s="269">
        <f>'Отрасли экономики'!M21</f>
        <v>0.98174766690995297</v>
      </c>
      <c r="G28" s="195">
        <v>9</v>
      </c>
      <c r="H28" s="268"/>
      <c r="I28" s="195"/>
      <c r="J28" s="268"/>
      <c r="K28" s="195"/>
      <c r="L28" s="195"/>
      <c r="M28" s="378">
        <f t="shared" ref="M28:M29" si="2">G28</f>
        <v>9</v>
      </c>
      <c r="N28" s="376" t="s">
        <v>313</v>
      </c>
    </row>
    <row r="29" spans="1:14" s="364" customFormat="1" ht="25.5" hidden="1" outlineLevel="1">
      <c r="A29" s="362" t="s">
        <v>330</v>
      </c>
      <c r="B29" s="114" t="s">
        <v>461</v>
      </c>
      <c r="C29" s="267">
        <f>'Отрасли экономики'!J13</f>
        <v>2627.9</v>
      </c>
      <c r="D29" s="267">
        <f>'Отрасли экономики'!K13</f>
        <v>1000</v>
      </c>
      <c r="E29" s="268">
        <f>'Отрасли экономики'!L13</f>
        <v>38.053198371323113</v>
      </c>
      <c r="F29" s="269">
        <f>'Отрасли экономики'!M13</f>
        <v>0.85648148148148151</v>
      </c>
      <c r="G29" s="195">
        <v>7</v>
      </c>
      <c r="H29" s="268"/>
      <c r="I29" s="195"/>
      <c r="J29" s="268"/>
      <c r="K29" s="195"/>
      <c r="L29" s="195"/>
      <c r="M29" s="378">
        <f t="shared" si="2"/>
        <v>7</v>
      </c>
      <c r="N29" s="456"/>
    </row>
    <row r="30" spans="1:14" s="364" customFormat="1" ht="27" customHeight="1" collapsed="1">
      <c r="A30" s="367" t="s">
        <v>247</v>
      </c>
      <c r="B30" s="463" t="s">
        <v>137</v>
      </c>
      <c r="C30" s="394">
        <f>'Развитие транспорта'!J6</f>
        <v>1094896.405</v>
      </c>
      <c r="D30" s="394">
        <f>'Развитие транспорта'!K6</f>
        <v>1093848.4439999999</v>
      </c>
      <c r="E30" s="371">
        <f>'Развитие транспорта'!L6</f>
        <v>99.904286743913445</v>
      </c>
      <c r="F30" s="381" t="s">
        <v>133</v>
      </c>
      <c r="G30" s="370" t="s">
        <v>133</v>
      </c>
      <c r="H30" s="406">
        <f>'Развитие транспорта'!N6</f>
        <v>0.73275324518831486</v>
      </c>
      <c r="I30" s="382">
        <v>6</v>
      </c>
      <c r="J30" s="406">
        <f>'Развитие транспорта'!O6</f>
        <v>0.79599812114368762</v>
      </c>
      <c r="K30" s="375">
        <v>7</v>
      </c>
      <c r="L30" s="382">
        <f>(G31*D31+G32*D32+G33*D33+G34*D34)/D30</f>
        <v>8.8001398994539333</v>
      </c>
      <c r="M30" s="382">
        <f>L30+K30+I30</f>
        <v>21.800139899453931</v>
      </c>
      <c r="N30" s="374" t="s">
        <v>313</v>
      </c>
    </row>
    <row r="31" spans="1:14" s="364" customFormat="1" ht="30" hidden="1" customHeight="1" outlineLevel="1">
      <c r="A31" s="362" t="s">
        <v>315</v>
      </c>
      <c r="B31" s="114" t="s">
        <v>248</v>
      </c>
      <c r="C31" s="297">
        <f>'Развитие транспорта'!J11</f>
        <v>704531.85600000003</v>
      </c>
      <c r="D31" s="297">
        <f>'Развитие транспорта'!K11</f>
        <v>704531.85600000003</v>
      </c>
      <c r="E31" s="391">
        <f>'Развитие транспорта'!L11</f>
        <v>100</v>
      </c>
      <c r="F31" s="269">
        <f>'Развитие транспорта'!M11</f>
        <v>1</v>
      </c>
      <c r="G31" s="195">
        <v>9</v>
      </c>
      <c r="H31" s="268"/>
      <c r="I31" s="395"/>
      <c r="J31" s="268"/>
      <c r="K31" s="195"/>
      <c r="L31" s="195"/>
      <c r="M31" s="406">
        <f>G31</f>
        <v>9</v>
      </c>
      <c r="N31" s="376" t="s">
        <v>313</v>
      </c>
    </row>
    <row r="32" spans="1:14" s="364" customFormat="1" ht="22.5" hidden="1" customHeight="1" outlineLevel="1">
      <c r="A32" s="362" t="s">
        <v>316</v>
      </c>
      <c r="B32" s="114" t="s">
        <v>249</v>
      </c>
      <c r="C32" s="297">
        <f>'Развитие транспорта'!J18</f>
        <v>14614.002</v>
      </c>
      <c r="D32" s="297">
        <f>'Развитие транспорта'!K18</f>
        <v>14298.057000000001</v>
      </c>
      <c r="E32" s="391">
        <f>'Развитие транспорта'!L18</f>
        <v>97.83806653372568</v>
      </c>
      <c r="F32" s="224">
        <f>'Развитие транспорта'!M18</f>
        <v>1</v>
      </c>
      <c r="G32" s="195">
        <v>9</v>
      </c>
      <c r="H32" s="268"/>
      <c r="I32" s="395"/>
      <c r="J32" s="268"/>
      <c r="K32" s="195"/>
      <c r="L32" s="195"/>
      <c r="M32" s="406">
        <f t="shared" ref="M32:M34" si="3">G32</f>
        <v>9</v>
      </c>
      <c r="N32" s="376" t="s">
        <v>313</v>
      </c>
    </row>
    <row r="33" spans="1:14" s="364" customFormat="1" ht="41.25" hidden="1" customHeight="1" outlineLevel="1">
      <c r="A33" s="362" t="s">
        <v>317</v>
      </c>
      <c r="B33" s="114" t="s">
        <v>250</v>
      </c>
      <c r="C33" s="297">
        <f>'Развитие транспорта'!J24</f>
        <v>339314.43699999998</v>
      </c>
      <c r="D33" s="297">
        <f>'Развитие транспорта'!K24</f>
        <v>338582.42099999997</v>
      </c>
      <c r="E33" s="268">
        <f>'Развитие транспорта'!L24</f>
        <v>99.78426617904266</v>
      </c>
      <c r="F33" s="269">
        <f>'Развитие транспорта'!M24</f>
        <v>0.94777884546111257</v>
      </c>
      <c r="G33" s="195">
        <v>9</v>
      </c>
      <c r="H33" s="268"/>
      <c r="I33" s="395"/>
      <c r="J33" s="268"/>
      <c r="K33" s="195"/>
      <c r="L33" s="195"/>
      <c r="M33" s="406">
        <f t="shared" si="3"/>
        <v>9</v>
      </c>
      <c r="N33" s="376" t="s">
        <v>313</v>
      </c>
    </row>
    <row r="34" spans="1:14" s="364" customFormat="1" ht="31.5" hidden="1" customHeight="1" outlineLevel="1">
      <c r="A34" s="362" t="s">
        <v>318</v>
      </c>
      <c r="B34" s="114" t="s">
        <v>251</v>
      </c>
      <c r="C34" s="297">
        <f>'Развитие транспорта'!J14</f>
        <v>36436.11</v>
      </c>
      <c r="D34" s="297">
        <f>'Развитие транспорта'!K14</f>
        <v>36436.11</v>
      </c>
      <c r="E34" s="268">
        <f>'Развитие транспорта'!L14</f>
        <v>100</v>
      </c>
      <c r="F34" s="269">
        <f>'Развитие транспорта'!M14</f>
        <v>0.49613473219215903</v>
      </c>
      <c r="G34" s="195">
        <v>3</v>
      </c>
      <c r="H34" s="268"/>
      <c r="I34" s="395"/>
      <c r="J34" s="268"/>
      <c r="K34" s="195"/>
      <c r="L34" s="195"/>
      <c r="M34" s="406">
        <f t="shared" si="3"/>
        <v>3</v>
      </c>
      <c r="N34" s="376" t="s">
        <v>322</v>
      </c>
    </row>
    <row r="35" spans="1:14" s="361" customFormat="1" ht="44.25" customHeight="1" collapsed="1">
      <c r="A35" s="357" t="s">
        <v>252</v>
      </c>
      <c r="B35" s="462" t="s">
        <v>253</v>
      </c>
      <c r="C35" s="150">
        <f>ЖКХ!J6</f>
        <v>3022740.28</v>
      </c>
      <c r="D35" s="150">
        <f>ЖКХ!K6</f>
        <v>2999273.79</v>
      </c>
      <c r="E35" s="99">
        <f>ЖКХ!L6</f>
        <v>99.223668333158955</v>
      </c>
      <c r="F35" s="386" t="s">
        <v>133</v>
      </c>
      <c r="G35" s="396" t="s">
        <v>133</v>
      </c>
      <c r="H35" s="378">
        <f>ЖКХ!N6</f>
        <v>1</v>
      </c>
      <c r="I35" s="379">
        <v>9</v>
      </c>
      <c r="J35" s="378">
        <f>ЖКХ!O6</f>
        <v>0.74800000000000011</v>
      </c>
      <c r="K35" s="377">
        <v>7</v>
      </c>
      <c r="L35" s="379">
        <f>(G36*D36+G37*D37+G38*D38+D39*G39+G40*D40)/D35</f>
        <v>3.1027400902936577</v>
      </c>
      <c r="M35" s="378">
        <f>ROUNDDOWN(L35+K35+I35,0)</f>
        <v>19</v>
      </c>
      <c r="N35" s="360" t="s">
        <v>322</v>
      </c>
    </row>
    <row r="36" spans="1:14" s="364" customFormat="1" ht="22.5" hidden="1" customHeight="1" outlineLevel="1">
      <c r="A36" s="362" t="s">
        <v>331</v>
      </c>
      <c r="B36" s="115" t="s">
        <v>328</v>
      </c>
      <c r="C36" s="384">
        <f>ЖКХ!J35</f>
        <v>2971260.89</v>
      </c>
      <c r="D36" s="384">
        <f>ЖКХ!K35</f>
        <v>2947916.18</v>
      </c>
      <c r="E36" s="363">
        <f>ЖКХ!L35</f>
        <v>99.214316384045304</v>
      </c>
      <c r="F36" s="423">
        <f>ЖКХ!M35</f>
        <v>0.44444444444444442</v>
      </c>
      <c r="G36" s="258">
        <v>3</v>
      </c>
      <c r="H36" s="363"/>
      <c r="I36" s="397"/>
      <c r="J36" s="363"/>
      <c r="K36" s="258"/>
      <c r="L36" s="258"/>
      <c r="M36" s="378">
        <v>3</v>
      </c>
      <c r="N36" s="376" t="s">
        <v>322</v>
      </c>
    </row>
    <row r="37" spans="1:14" s="364" customFormat="1" ht="44.25" hidden="1" customHeight="1" outlineLevel="1">
      <c r="A37" s="362" t="s">
        <v>332</v>
      </c>
      <c r="B37" s="114" t="s">
        <v>254</v>
      </c>
      <c r="C37" s="384">
        <f>ЖКХ!J10</f>
        <v>30555.53</v>
      </c>
      <c r="D37" s="384">
        <f>ЖКХ!K10</f>
        <v>30555.53</v>
      </c>
      <c r="E37" s="363">
        <f>ЖКХ!L10</f>
        <v>100</v>
      </c>
      <c r="F37" s="423">
        <f>ЖКХ!M10</f>
        <v>1</v>
      </c>
      <c r="G37" s="258">
        <v>9</v>
      </c>
      <c r="H37" s="363"/>
      <c r="I37" s="397"/>
      <c r="J37" s="363"/>
      <c r="K37" s="258"/>
      <c r="L37" s="258"/>
      <c r="M37" s="378">
        <v>9</v>
      </c>
      <c r="N37" s="376" t="s">
        <v>313</v>
      </c>
    </row>
    <row r="38" spans="1:14" s="364" customFormat="1" ht="33" hidden="1" customHeight="1" outlineLevel="1">
      <c r="A38" s="362" t="s">
        <v>333</v>
      </c>
      <c r="B38" s="114" t="s">
        <v>290</v>
      </c>
      <c r="C38" s="384">
        <f>ЖКХ!J19</f>
        <v>0</v>
      </c>
      <c r="D38" s="384">
        <f>ЖКХ!K19</f>
        <v>0</v>
      </c>
      <c r="E38" s="363">
        <v>0</v>
      </c>
      <c r="F38" s="423">
        <f>ЖКХ!M19</f>
        <v>1</v>
      </c>
      <c r="G38" s="258">
        <v>9</v>
      </c>
      <c r="H38" s="363"/>
      <c r="I38" s="397"/>
      <c r="J38" s="363"/>
      <c r="K38" s="258"/>
      <c r="L38" s="258"/>
      <c r="M38" s="378">
        <v>9</v>
      </c>
      <c r="N38" s="376" t="s">
        <v>313</v>
      </c>
    </row>
    <row r="39" spans="1:14" s="364" customFormat="1" ht="33" hidden="1" customHeight="1" outlineLevel="1">
      <c r="A39" s="362" t="s">
        <v>619</v>
      </c>
      <c r="B39" s="114" t="s">
        <v>297</v>
      </c>
      <c r="C39" s="384">
        <f>ЖКХ!J29</f>
        <v>0</v>
      </c>
      <c r="D39" s="384">
        <f>ЖКХ!K29</f>
        <v>0</v>
      </c>
      <c r="E39" s="363">
        <v>0</v>
      </c>
      <c r="F39" s="423">
        <v>0</v>
      </c>
      <c r="G39" s="258">
        <v>0</v>
      </c>
      <c r="H39" s="363"/>
      <c r="I39" s="397"/>
      <c r="J39" s="363"/>
      <c r="K39" s="258"/>
      <c r="L39" s="258"/>
      <c r="M39" s="378">
        <v>0</v>
      </c>
      <c r="N39" s="376" t="s">
        <v>621</v>
      </c>
    </row>
    <row r="40" spans="1:14" s="364" customFormat="1" ht="15" hidden="1" customHeight="1" outlineLevel="1">
      <c r="A40" s="362" t="s">
        <v>620</v>
      </c>
      <c r="B40" s="114" t="s">
        <v>462</v>
      </c>
      <c r="C40" s="384">
        <f>ЖКХ!J32</f>
        <v>20923.86</v>
      </c>
      <c r="D40" s="384">
        <f>ЖКХ!K32</f>
        <v>20802.080000000002</v>
      </c>
      <c r="E40" s="363">
        <f>ЖКХ!L32</f>
        <v>99.417985018060733</v>
      </c>
      <c r="F40" s="423">
        <f>ЖКХ!M32</f>
        <v>1</v>
      </c>
      <c r="G40" s="258">
        <v>9</v>
      </c>
      <c r="H40" s="363"/>
      <c r="I40" s="397"/>
      <c r="J40" s="363"/>
      <c r="K40" s="258"/>
      <c r="L40" s="258"/>
      <c r="M40" s="378">
        <v>9</v>
      </c>
      <c r="N40" s="376" t="s">
        <v>313</v>
      </c>
    </row>
    <row r="41" spans="1:14" s="383" customFormat="1" collapsed="1">
      <c r="A41" s="367" t="s">
        <v>255</v>
      </c>
      <c r="B41" s="463" t="s">
        <v>207</v>
      </c>
      <c r="C41" s="398">
        <f>Связь!J6</f>
        <v>140717.05300000001</v>
      </c>
      <c r="D41" s="394">
        <f>Связь!K6</f>
        <v>137971.28599999999</v>
      </c>
      <c r="E41" s="371">
        <f>Связь!L6</f>
        <v>98.048731876157163</v>
      </c>
      <c r="F41" s="399" t="s">
        <v>133</v>
      </c>
      <c r="G41" s="370" t="s">
        <v>133</v>
      </c>
      <c r="H41" s="406">
        <f>Связь!N6</f>
        <v>1</v>
      </c>
      <c r="I41" s="400">
        <v>9</v>
      </c>
      <c r="J41" s="406">
        <f>Связь!O6</f>
        <v>0.93</v>
      </c>
      <c r="K41" s="375">
        <v>10</v>
      </c>
      <c r="L41" s="382">
        <f>(G42*D42+G43*D43+G44*D44)/D41</f>
        <v>9.0088541249082787</v>
      </c>
      <c r="M41" s="406">
        <f>ROUNDDOWN(L41+K41+I41,0)</f>
        <v>28</v>
      </c>
      <c r="N41" s="374" t="s">
        <v>314</v>
      </c>
    </row>
    <row r="42" spans="1:14" s="364" customFormat="1" ht="22.5" hidden="1" customHeight="1" outlineLevel="1">
      <c r="A42" s="362" t="s">
        <v>334</v>
      </c>
      <c r="B42" s="114" t="s">
        <v>256</v>
      </c>
      <c r="C42" s="297">
        <f>Связь!J10</f>
        <v>850</v>
      </c>
      <c r="D42" s="297">
        <f>Связь!K10</f>
        <v>848.38300000000004</v>
      </c>
      <c r="E42" s="391">
        <f>Связь!L10</f>
        <v>99.809764705882358</v>
      </c>
      <c r="F42" s="224">
        <f>Связь!M10</f>
        <v>1</v>
      </c>
      <c r="G42" s="194">
        <v>9</v>
      </c>
      <c r="H42" s="262"/>
      <c r="I42" s="294"/>
      <c r="J42" s="262"/>
      <c r="K42" s="192"/>
      <c r="L42" s="192"/>
      <c r="M42" s="436">
        <f>G42</f>
        <v>9</v>
      </c>
      <c r="N42" s="376" t="s">
        <v>313</v>
      </c>
    </row>
    <row r="43" spans="1:14" s="364" customFormat="1" ht="38.25" hidden="1" outlineLevel="1">
      <c r="A43" s="362" t="s">
        <v>335</v>
      </c>
      <c r="B43" s="114" t="s">
        <v>257</v>
      </c>
      <c r="C43" s="401">
        <f>Связь!J16</f>
        <v>138447.05300000001</v>
      </c>
      <c r="D43" s="401">
        <f>Связь!K16</f>
        <v>135901.288</v>
      </c>
      <c r="E43" s="262">
        <f>Связь!L16</f>
        <v>98.161199574251668</v>
      </c>
      <c r="F43" s="263">
        <f>Связь!M16</f>
        <v>0.8</v>
      </c>
      <c r="G43" s="192">
        <v>9</v>
      </c>
      <c r="H43" s="262"/>
      <c r="I43" s="294"/>
      <c r="J43" s="262"/>
      <c r="K43" s="192"/>
      <c r="L43" s="192"/>
      <c r="M43" s="436">
        <f t="shared" ref="M43:M44" si="4">G43</f>
        <v>9</v>
      </c>
      <c r="N43" s="376" t="s">
        <v>313</v>
      </c>
    </row>
    <row r="44" spans="1:14" s="364" customFormat="1" ht="21" hidden="1" customHeight="1" outlineLevel="1">
      <c r="A44" s="362" t="s">
        <v>336</v>
      </c>
      <c r="B44" s="114" t="s">
        <v>258</v>
      </c>
      <c r="C44" s="401">
        <f>Связь!J23</f>
        <v>1420</v>
      </c>
      <c r="D44" s="401">
        <f>Связь!K23</f>
        <v>1221.615</v>
      </c>
      <c r="E44" s="262">
        <f>Связь!L23</f>
        <v>86.029225352112675</v>
      </c>
      <c r="F44" s="263">
        <f>Связь!M23</f>
        <v>1</v>
      </c>
      <c r="G44" s="192">
        <v>10</v>
      </c>
      <c r="H44" s="262"/>
      <c r="I44" s="294"/>
      <c r="J44" s="262"/>
      <c r="K44" s="192"/>
      <c r="L44" s="192"/>
      <c r="M44" s="436">
        <f t="shared" si="4"/>
        <v>10</v>
      </c>
      <c r="N44" s="376" t="s">
        <v>313</v>
      </c>
    </row>
    <row r="45" spans="1:14" s="361" customFormat="1" ht="32.25" customHeight="1" collapsed="1">
      <c r="A45" s="357" t="s">
        <v>259</v>
      </c>
      <c r="B45" s="462" t="s">
        <v>260</v>
      </c>
      <c r="C45" s="150">
        <f>ДКС!J6</f>
        <v>7296.71</v>
      </c>
      <c r="D45" s="150">
        <f>ДКС!K6</f>
        <v>7296.71</v>
      </c>
      <c r="E45" s="402">
        <f>ДКС!L6</f>
        <v>100</v>
      </c>
      <c r="F45" s="386" t="s">
        <v>133</v>
      </c>
      <c r="G45" s="387" t="s">
        <v>133</v>
      </c>
      <c r="H45" s="378">
        <f>ДКС!N6</f>
        <v>0.69565217391304346</v>
      </c>
      <c r="I45" s="379">
        <v>6</v>
      </c>
      <c r="J45" s="378">
        <f>ДКС!O6</f>
        <v>0.60000000000000009</v>
      </c>
      <c r="K45" s="377">
        <v>3</v>
      </c>
      <c r="L45" s="377">
        <f>G46*D46/D45</f>
        <v>0</v>
      </c>
      <c r="M45" s="428">
        <f>L45+K45+I45</f>
        <v>9</v>
      </c>
      <c r="N45" s="377" t="s">
        <v>587</v>
      </c>
    </row>
    <row r="46" spans="1:14" s="361" customFormat="1" hidden="1" outlineLevel="1">
      <c r="A46" s="362" t="s">
        <v>337</v>
      </c>
      <c r="B46" s="114" t="s">
        <v>327</v>
      </c>
      <c r="C46" s="267">
        <f>C45</f>
        <v>7296.71</v>
      </c>
      <c r="D46" s="267">
        <f t="shared" ref="D46:E46" si="5">D45</f>
        <v>7296.71</v>
      </c>
      <c r="E46" s="403">
        <f t="shared" si="5"/>
        <v>100</v>
      </c>
      <c r="F46" s="269">
        <f>ДКС!M6</f>
        <v>0.46666666666666667</v>
      </c>
      <c r="G46" s="195">
        <v>0</v>
      </c>
      <c r="H46" s="268"/>
      <c r="I46" s="404"/>
      <c r="J46" s="268"/>
      <c r="K46" s="195"/>
      <c r="L46" s="195"/>
      <c r="M46" s="224">
        <v>0</v>
      </c>
      <c r="N46" s="376" t="s">
        <v>587</v>
      </c>
    </row>
    <row r="47" spans="1:14" s="383" customFormat="1" ht="33" customHeight="1" collapsed="1">
      <c r="A47" s="367" t="s">
        <v>261</v>
      </c>
      <c r="B47" s="463" t="s">
        <v>138</v>
      </c>
      <c r="C47" s="368">
        <f>'Сельское хозяйство'!J6</f>
        <v>19791.150000000001</v>
      </c>
      <c r="D47" s="368">
        <f>'Сельское хозяйство'!K6</f>
        <v>17757.349999999999</v>
      </c>
      <c r="E47" s="369">
        <f>'Сельское хозяйство'!L6</f>
        <v>89.723689628950297</v>
      </c>
      <c r="F47" s="381" t="s">
        <v>133</v>
      </c>
      <c r="G47" s="370" t="s">
        <v>133</v>
      </c>
      <c r="H47" s="369">
        <f>'Сельское хозяйство'!N6</f>
        <v>0.91666666666666663</v>
      </c>
      <c r="I47" s="382">
        <v>10</v>
      </c>
      <c r="J47" s="406">
        <f>'Сельское хозяйство'!O6</f>
        <v>0.94695757575757578</v>
      </c>
      <c r="K47" s="375">
        <v>10</v>
      </c>
      <c r="L47" s="382">
        <f>(G48*D48+G49*D49+G50*D50+G51*D51)/D47</f>
        <v>7.8327194091460726</v>
      </c>
      <c r="M47" s="382">
        <f>L47+K47+I47</f>
        <v>27.832719409146073</v>
      </c>
      <c r="N47" s="374" t="s">
        <v>314</v>
      </c>
    </row>
    <row r="48" spans="1:14" s="364" customFormat="1" ht="40.5" hidden="1" customHeight="1" outlineLevel="1">
      <c r="A48" s="362" t="s">
        <v>338</v>
      </c>
      <c r="B48" s="115" t="s">
        <v>326</v>
      </c>
      <c r="C48" s="384">
        <f>'Сельское хозяйство'!J32</f>
        <v>3623.58</v>
      </c>
      <c r="D48" s="384">
        <f>'Сельское хозяйство'!K32</f>
        <v>1772.19</v>
      </c>
      <c r="E48" s="363">
        <f>'Сельское хозяйство'!L32</f>
        <v>48.907158114350999</v>
      </c>
      <c r="F48" s="424">
        <f>'Сельское хозяйство'!M32</f>
        <v>0.96666666666666667</v>
      </c>
      <c r="G48" s="192">
        <v>10</v>
      </c>
      <c r="H48" s="363"/>
      <c r="I48" s="258"/>
      <c r="J48" s="363"/>
      <c r="K48" s="258"/>
      <c r="L48" s="258"/>
      <c r="M48" s="406">
        <f t="shared" ref="M48:M51" si="6">G48</f>
        <v>10</v>
      </c>
      <c r="N48" s="195" t="s">
        <v>634</v>
      </c>
    </row>
    <row r="49" spans="1:14" s="364" customFormat="1" ht="19.5" hidden="1" customHeight="1" outlineLevel="1">
      <c r="A49" s="362" t="s">
        <v>339</v>
      </c>
      <c r="B49" s="114" t="s">
        <v>262</v>
      </c>
      <c r="C49" s="267">
        <f>'Сельское хозяйство'!J11</f>
        <v>6500</v>
      </c>
      <c r="D49" s="267">
        <f>'Сельское хозяйство'!K11</f>
        <v>6500</v>
      </c>
      <c r="E49" s="268">
        <f>'Сельское хозяйство'!L11</f>
        <v>100</v>
      </c>
      <c r="F49" s="424">
        <f>'Сельское хозяйство'!M11</f>
        <v>1</v>
      </c>
      <c r="G49" s="258">
        <v>9</v>
      </c>
      <c r="H49" s="363"/>
      <c r="I49" s="258"/>
      <c r="J49" s="363"/>
      <c r="K49" s="258"/>
      <c r="L49" s="258"/>
      <c r="M49" s="406">
        <f t="shared" si="6"/>
        <v>9</v>
      </c>
      <c r="N49" s="376" t="s">
        <v>313</v>
      </c>
    </row>
    <row r="50" spans="1:14" s="364" customFormat="1" ht="31.5" hidden="1" customHeight="1" outlineLevel="1">
      <c r="A50" s="362" t="s">
        <v>340</v>
      </c>
      <c r="B50" s="114" t="s">
        <v>263</v>
      </c>
      <c r="C50" s="384">
        <f>'Сельское хозяйство'!J23</f>
        <v>7500</v>
      </c>
      <c r="D50" s="384">
        <f>'Сельское хозяйство'!K23</f>
        <v>7500</v>
      </c>
      <c r="E50" s="363">
        <f>'Сельское хозяйство'!L23</f>
        <v>100</v>
      </c>
      <c r="F50" s="423">
        <f>'Сельское хозяйство'!M23</f>
        <v>0.76945454545454539</v>
      </c>
      <c r="G50" s="258">
        <v>6</v>
      </c>
      <c r="H50" s="363"/>
      <c r="I50" s="258"/>
      <c r="J50" s="363"/>
      <c r="K50" s="258"/>
      <c r="L50" s="258"/>
      <c r="M50" s="406">
        <f t="shared" si="6"/>
        <v>6</v>
      </c>
      <c r="N50" s="376" t="s">
        <v>313</v>
      </c>
    </row>
    <row r="51" spans="1:14" s="364" customFormat="1" ht="31.5" hidden="1" customHeight="1" outlineLevel="1">
      <c r="A51" s="362" t="s">
        <v>341</v>
      </c>
      <c r="B51" s="114" t="s">
        <v>264</v>
      </c>
      <c r="C51" s="384">
        <f>'Сельское хозяйство'!J30</f>
        <v>2167.5700000000002</v>
      </c>
      <c r="D51" s="384">
        <f>'Сельское хозяйство'!K30</f>
        <v>1985.16</v>
      </c>
      <c r="E51" s="363">
        <f>'Сельское хозяйство'!L30</f>
        <v>91.584585503582346</v>
      </c>
      <c r="F51" s="423">
        <f>'Сельское хозяйство'!M30</f>
        <v>0.96399999999999997</v>
      </c>
      <c r="G51" s="258">
        <v>9</v>
      </c>
      <c r="H51" s="363"/>
      <c r="I51" s="258"/>
      <c r="J51" s="363"/>
      <c r="K51" s="258"/>
      <c r="L51" s="258"/>
      <c r="M51" s="406">
        <f t="shared" si="6"/>
        <v>9</v>
      </c>
      <c r="N51" s="376" t="s">
        <v>313</v>
      </c>
    </row>
    <row r="52" spans="1:14" s="364" customFormat="1" ht="46.5" customHeight="1" collapsed="1">
      <c r="A52" s="357" t="s">
        <v>265</v>
      </c>
      <c r="B52" s="462" t="s">
        <v>52</v>
      </c>
      <c r="C52" s="208">
        <f>КМНС!J6</f>
        <v>201739.54</v>
      </c>
      <c r="D52" s="208">
        <f>КМНС!K6</f>
        <v>198112.27</v>
      </c>
      <c r="E52" s="99">
        <f>КМНС!L6</f>
        <v>98.202003434725768</v>
      </c>
      <c r="F52" s="386" t="s">
        <v>133</v>
      </c>
      <c r="G52" s="387" t="s">
        <v>133</v>
      </c>
      <c r="H52" s="378">
        <f>КМНС!N6</f>
        <v>1</v>
      </c>
      <c r="I52" s="377">
        <v>9</v>
      </c>
      <c r="J52" s="378">
        <f>КМНС!O6</f>
        <v>1</v>
      </c>
      <c r="K52" s="377">
        <v>10</v>
      </c>
      <c r="L52" s="379">
        <f>(G53*D53+G54*D54)/D52</f>
        <v>9</v>
      </c>
      <c r="M52" s="378">
        <f>L52+K52+I52</f>
        <v>28</v>
      </c>
      <c r="N52" s="360" t="s">
        <v>314</v>
      </c>
    </row>
    <row r="53" spans="1:14" s="380" customFormat="1" ht="54.75" hidden="1" customHeight="1" outlineLevel="1">
      <c r="A53" s="362" t="s">
        <v>342</v>
      </c>
      <c r="B53" s="114" t="s">
        <v>266</v>
      </c>
      <c r="C53" s="297">
        <f>КМНС!J12</f>
        <v>181719.09</v>
      </c>
      <c r="D53" s="297">
        <f>КМНС!K12</f>
        <v>178167.99</v>
      </c>
      <c r="E53" s="268">
        <f>КМНС!L12</f>
        <v>98.045829967561474</v>
      </c>
      <c r="F53" s="269">
        <f>КМНС!M12</f>
        <v>1</v>
      </c>
      <c r="G53" s="195">
        <v>9</v>
      </c>
      <c r="H53" s="268"/>
      <c r="I53" s="195"/>
      <c r="J53" s="268"/>
      <c r="K53" s="195"/>
      <c r="L53" s="195"/>
      <c r="M53" s="378">
        <f>G53</f>
        <v>9</v>
      </c>
      <c r="N53" s="405" t="s">
        <v>313</v>
      </c>
    </row>
    <row r="54" spans="1:14" s="380" customFormat="1" ht="26.25" hidden="1" customHeight="1" outlineLevel="1">
      <c r="A54" s="362" t="s">
        <v>343</v>
      </c>
      <c r="B54" s="114" t="s">
        <v>227</v>
      </c>
      <c r="C54" s="297">
        <f>КМНС!J18</f>
        <v>20020.45</v>
      </c>
      <c r="D54" s="297">
        <f>КМНС!K18</f>
        <v>19944.28</v>
      </c>
      <c r="E54" s="268">
        <f>КМНС!L18</f>
        <v>99.619539021350661</v>
      </c>
      <c r="F54" s="269">
        <f>КМНС!M18</f>
        <v>1</v>
      </c>
      <c r="G54" s="195">
        <v>9</v>
      </c>
      <c r="H54" s="268"/>
      <c r="I54" s="195"/>
      <c r="J54" s="268"/>
      <c r="K54" s="195"/>
      <c r="L54" s="195"/>
      <c r="M54" s="378">
        <f>G54</f>
        <v>9</v>
      </c>
      <c r="N54" s="405" t="s">
        <v>313</v>
      </c>
    </row>
    <row r="55" spans="1:14" s="383" customFormat="1" ht="33.75" customHeight="1" collapsed="1">
      <c r="A55" s="367" t="s">
        <v>267</v>
      </c>
      <c r="B55" s="463" t="s">
        <v>268</v>
      </c>
      <c r="C55" s="406">
        <f>'Муниципальное имущество'!J6</f>
        <v>38096.29</v>
      </c>
      <c r="D55" s="406">
        <f>'Муниципальное имущество'!K6</f>
        <v>34484.239999999998</v>
      </c>
      <c r="E55" s="369">
        <f>'Муниципальное имущество'!L6</f>
        <v>90.518630554313816</v>
      </c>
      <c r="F55" s="381" t="s">
        <v>133</v>
      </c>
      <c r="G55" s="381" t="s">
        <v>133</v>
      </c>
      <c r="H55" s="406">
        <f>'Муниципальное имущество'!N6</f>
        <v>0.66666666666666663</v>
      </c>
      <c r="I55" s="375">
        <v>3</v>
      </c>
      <c r="J55" s="406">
        <f>'Муниципальное имущество'!O6</f>
        <v>0.89886792452830189</v>
      </c>
      <c r="K55" s="375">
        <v>10</v>
      </c>
      <c r="L55" s="375">
        <f>G56*D56/D55</f>
        <v>9</v>
      </c>
      <c r="M55" s="406">
        <f>L55+K55+I55</f>
        <v>22</v>
      </c>
      <c r="N55" s="374" t="s">
        <v>313</v>
      </c>
    </row>
    <row r="56" spans="1:14" s="383" customFormat="1" ht="25.5" hidden="1" customHeight="1" outlineLevel="1">
      <c r="A56" s="362" t="s">
        <v>344</v>
      </c>
      <c r="B56" s="132" t="s">
        <v>327</v>
      </c>
      <c r="C56" s="269">
        <f>C55</f>
        <v>38096.29</v>
      </c>
      <c r="D56" s="269">
        <f t="shared" ref="D56:E56" si="7">D55</f>
        <v>34484.239999999998</v>
      </c>
      <c r="E56" s="269">
        <f t="shared" si="7"/>
        <v>90.518630554313816</v>
      </c>
      <c r="F56" s="269">
        <f>'Муниципальное имущество'!M6</f>
        <v>0.91509433962264153</v>
      </c>
      <c r="G56" s="195">
        <v>9</v>
      </c>
      <c r="H56" s="268"/>
      <c r="I56" s="195"/>
      <c r="J56" s="268"/>
      <c r="K56" s="195"/>
      <c r="L56" s="195"/>
      <c r="M56" s="100">
        <f>G56</f>
        <v>9</v>
      </c>
      <c r="N56" s="376" t="s">
        <v>313</v>
      </c>
    </row>
    <row r="57" spans="1:14" s="361" customFormat="1" ht="33" customHeight="1" collapsed="1">
      <c r="A57" s="357" t="s">
        <v>269</v>
      </c>
      <c r="B57" s="460" t="s">
        <v>270</v>
      </c>
      <c r="C57" s="377">
        <f>'Улучшение жилищных усл.'!J6</f>
        <v>59453</v>
      </c>
      <c r="D57" s="377">
        <f>'Улучшение жилищных усл.'!K6</f>
        <v>57686.02</v>
      </c>
      <c r="E57" s="99">
        <f>'Улучшение жилищных усл.'!L6</f>
        <v>97.027938035086535</v>
      </c>
      <c r="F57" s="386" t="s">
        <v>133</v>
      </c>
      <c r="G57" s="386" t="s">
        <v>133</v>
      </c>
      <c r="H57" s="378">
        <f>'Улучшение жилищных усл.'!N6</f>
        <v>1</v>
      </c>
      <c r="I57" s="377">
        <v>9</v>
      </c>
      <c r="J57" s="378">
        <f>'Улучшение жилищных усл.'!O6</f>
        <v>0.65066666666666662</v>
      </c>
      <c r="K57" s="377">
        <v>3</v>
      </c>
      <c r="L57" s="379">
        <f>(G58*D58+G59*D59+G60*D60+G61*D61+D62*G62+G63*D63)/D57</f>
        <v>3.2753138455383128</v>
      </c>
      <c r="M57" s="378">
        <f>ROUNDDOWN(L57+K57+I57,0)</f>
        <v>15</v>
      </c>
      <c r="N57" s="390" t="s">
        <v>322</v>
      </c>
    </row>
    <row r="58" spans="1:14" s="361" customFormat="1" ht="51.75" hidden="1" outlineLevel="1">
      <c r="A58" s="362" t="s">
        <v>345</v>
      </c>
      <c r="B58" s="132" t="s">
        <v>514</v>
      </c>
      <c r="C58" s="194">
        <f>'Улучшение жилищных усл.'!J25</f>
        <v>1333.2</v>
      </c>
      <c r="D58" s="194">
        <f>'Улучшение жилищных усл.'!K25</f>
        <v>1333.18</v>
      </c>
      <c r="E58" s="391">
        <f>'Улучшение жилищных усл.'!L25</f>
        <v>99.998499849984995</v>
      </c>
      <c r="F58" s="224">
        <f>'Улучшение жилищных усл.'!M25</f>
        <v>1</v>
      </c>
      <c r="G58" s="392">
        <v>9</v>
      </c>
      <c r="H58" s="183"/>
      <c r="I58" s="291"/>
      <c r="J58" s="183"/>
      <c r="K58" s="291"/>
      <c r="L58" s="393"/>
      <c r="M58" s="406">
        <f>G58</f>
        <v>9</v>
      </c>
      <c r="N58" s="407" t="str">
        <f>IF(M58&gt;=9,"эффективная","уточнить")</f>
        <v>эффективная</v>
      </c>
    </row>
    <row r="59" spans="1:14" s="361" customFormat="1" ht="39" hidden="1" outlineLevel="1">
      <c r="A59" s="362" t="s">
        <v>346</v>
      </c>
      <c r="B59" s="132" t="s">
        <v>516</v>
      </c>
      <c r="C59" s="194">
        <f>'Улучшение жилищных усл.'!J27</f>
        <v>36085.199999999997</v>
      </c>
      <c r="D59" s="194">
        <f>'Улучшение жилищных усл.'!K27</f>
        <v>36043.24</v>
      </c>
      <c r="E59" s="391">
        <f>'Улучшение жилищных усл.'!L27</f>
        <v>99.883719641293396</v>
      </c>
      <c r="F59" s="224">
        <f>'Улучшение жилищных усл.'!M27</f>
        <v>0.4</v>
      </c>
      <c r="G59" s="392">
        <v>0</v>
      </c>
      <c r="H59" s="183"/>
      <c r="I59" s="291"/>
      <c r="J59" s="183"/>
      <c r="K59" s="291"/>
      <c r="L59" s="393"/>
      <c r="M59" s="406">
        <f t="shared" ref="M59:M63" si="8">G59</f>
        <v>0</v>
      </c>
      <c r="N59" s="407" t="s">
        <v>587</v>
      </c>
    </row>
    <row r="60" spans="1:14" s="361" customFormat="1" ht="28.5" hidden="1" customHeight="1" outlineLevel="1">
      <c r="A60" s="362"/>
      <c r="B60" s="132" t="s">
        <v>645</v>
      </c>
      <c r="C60" s="194">
        <f>'Улучшение жилищных усл.'!J29</f>
        <v>121.2</v>
      </c>
      <c r="D60" s="194">
        <f>'Улучшение жилищных усл.'!K29</f>
        <v>121.2</v>
      </c>
      <c r="E60" s="391">
        <f>'Улучшение жилищных усл.'!L29</f>
        <v>100</v>
      </c>
      <c r="F60" s="224">
        <f>'Улучшение жилищных усл.'!M29</f>
        <v>1</v>
      </c>
      <c r="G60" s="392">
        <v>9</v>
      </c>
      <c r="H60" s="183"/>
      <c r="I60" s="291"/>
      <c r="J60" s="183"/>
      <c r="K60" s="291"/>
      <c r="L60" s="393"/>
      <c r="M60" s="406"/>
      <c r="N60" s="407" t="s">
        <v>647</v>
      </c>
    </row>
    <row r="61" spans="1:14" s="364" customFormat="1" ht="27" hidden="1" customHeight="1" outlineLevel="1">
      <c r="A61" s="362" t="s">
        <v>347</v>
      </c>
      <c r="B61" s="114" t="s">
        <v>271</v>
      </c>
      <c r="C61" s="258">
        <f>'Улучшение жилищных усл.'!J13</f>
        <v>19721.099999999999</v>
      </c>
      <c r="D61" s="258">
        <f>'Улучшение жилищных усл.'!K13</f>
        <v>18240</v>
      </c>
      <c r="E61" s="363">
        <f>'Улучшение жилищных усл.'!L13</f>
        <v>92.489769840424728</v>
      </c>
      <c r="F61" s="423">
        <f>'Улучшение жилищных усл.'!M13</f>
        <v>1</v>
      </c>
      <c r="G61" s="258">
        <v>9</v>
      </c>
      <c r="H61" s="363"/>
      <c r="I61" s="258"/>
      <c r="J61" s="363"/>
      <c r="K61" s="258"/>
      <c r="L61" s="258"/>
      <c r="M61" s="406">
        <f t="shared" si="8"/>
        <v>9</v>
      </c>
      <c r="N61" s="407" t="str">
        <f>IF(M61&gt;=9,"эффективная","уточнить")</f>
        <v>эффективная</v>
      </c>
    </row>
    <row r="62" spans="1:14" s="364" customFormat="1" ht="36.75" hidden="1" customHeight="1" outlineLevel="1">
      <c r="A62" s="362" t="s">
        <v>519</v>
      </c>
      <c r="B62" s="114" t="s">
        <v>272</v>
      </c>
      <c r="C62" s="258">
        <f>'Улучшение жилищных усл.'!J17</f>
        <v>243</v>
      </c>
      <c r="D62" s="258">
        <f>'Улучшение жилищных усл.'!K17</f>
        <v>0</v>
      </c>
      <c r="E62" s="262">
        <v>0</v>
      </c>
      <c r="F62" s="263">
        <v>0</v>
      </c>
      <c r="G62" s="192">
        <v>0</v>
      </c>
      <c r="H62" s="408"/>
      <c r="I62" s="409"/>
      <c r="J62" s="408"/>
      <c r="K62" s="409"/>
      <c r="L62" s="409"/>
      <c r="M62" s="388">
        <f t="shared" si="8"/>
        <v>0</v>
      </c>
      <c r="N62" s="410" t="s">
        <v>646</v>
      </c>
    </row>
    <row r="63" spans="1:14" s="364" customFormat="1" ht="29.25" hidden="1" customHeight="1" outlineLevel="1">
      <c r="A63" s="362" t="s">
        <v>520</v>
      </c>
      <c r="B63" s="114" t="s">
        <v>273</v>
      </c>
      <c r="C63" s="258">
        <f>'Улучшение жилищных усл.'!J21</f>
        <v>1948.4</v>
      </c>
      <c r="D63" s="258">
        <f>'Улучшение жилищных усл.'!K21</f>
        <v>1948.4</v>
      </c>
      <c r="E63" s="363">
        <f>'Улучшение жилищных усл.'!L21</f>
        <v>100</v>
      </c>
      <c r="F63" s="423">
        <f>'Улучшение жилищных усл.'!M21</f>
        <v>0.77777777777777779</v>
      </c>
      <c r="G63" s="258">
        <v>6</v>
      </c>
      <c r="H63" s="363"/>
      <c r="I63" s="258"/>
      <c r="J63" s="363"/>
      <c r="K63" s="258"/>
      <c r="L63" s="258"/>
      <c r="M63" s="406">
        <f t="shared" si="8"/>
        <v>6</v>
      </c>
      <c r="N63" s="407" t="str">
        <f>IF(M63&gt;=9,"эффективная","среднеэффективная")</f>
        <v>среднеэффективная</v>
      </c>
    </row>
    <row r="64" spans="1:14" s="383" customFormat="1" ht="45.75" customHeight="1" collapsed="1">
      <c r="A64" s="367" t="s">
        <v>274</v>
      </c>
      <c r="B64" s="463" t="s">
        <v>275</v>
      </c>
      <c r="C64" s="406">
        <f>'Терроризм-Экстремизм'!J6</f>
        <v>80</v>
      </c>
      <c r="D64" s="406">
        <f>'Терроризм-Экстремизм'!K6</f>
        <v>77.8</v>
      </c>
      <c r="E64" s="406">
        <f>'Терроризм-Экстремизм'!L6</f>
        <v>97.249999999999986</v>
      </c>
      <c r="F64" s="381" t="s">
        <v>133</v>
      </c>
      <c r="G64" s="381" t="s">
        <v>133</v>
      </c>
      <c r="H64" s="406">
        <f>'Терроризм-Экстремизм'!N6</f>
        <v>1</v>
      </c>
      <c r="I64" s="375">
        <v>9</v>
      </c>
      <c r="J64" s="406">
        <f>'Терроризм-Экстремизм'!O6</f>
        <v>1</v>
      </c>
      <c r="K64" s="375">
        <v>10</v>
      </c>
      <c r="L64" s="375">
        <f>G65*D65/D64</f>
        <v>9</v>
      </c>
      <c r="M64" s="406">
        <f>L64+K64+I64</f>
        <v>28</v>
      </c>
      <c r="N64" s="360" t="s">
        <v>314</v>
      </c>
    </row>
    <row r="65" spans="1:14" s="383" customFormat="1" hidden="1" outlineLevel="1">
      <c r="A65" s="362" t="s">
        <v>348</v>
      </c>
      <c r="B65" s="114" t="s">
        <v>327</v>
      </c>
      <c r="C65" s="269">
        <v>80</v>
      </c>
      <c r="D65" s="269">
        <v>77.8</v>
      </c>
      <c r="E65" s="269">
        <f>D65/C65*100</f>
        <v>97.249999999999986</v>
      </c>
      <c r="F65" s="269">
        <f>'Терроризм-Экстремизм'!M6</f>
        <v>1</v>
      </c>
      <c r="G65" s="195">
        <v>9</v>
      </c>
      <c r="H65" s="268"/>
      <c r="I65" s="195"/>
      <c r="J65" s="268"/>
      <c r="K65" s="195"/>
      <c r="L65" s="195"/>
      <c r="M65" s="269">
        <v>9</v>
      </c>
      <c r="N65" s="405" t="s">
        <v>313</v>
      </c>
    </row>
    <row r="66" spans="1:14" s="361" customFormat="1" ht="30" customHeight="1" collapsed="1">
      <c r="A66" s="411" t="s">
        <v>276</v>
      </c>
      <c r="B66" s="462" t="s">
        <v>32</v>
      </c>
      <c r="C66" s="178">
        <f>'Охрана труда'!J8</f>
        <v>315</v>
      </c>
      <c r="D66" s="178">
        <f>'Охрана труда'!K8</f>
        <v>277.18</v>
      </c>
      <c r="E66" s="180">
        <f>'Охрана труда'!L8</f>
        <v>87.993650793650787</v>
      </c>
      <c r="F66" s="386" t="s">
        <v>133</v>
      </c>
      <c r="G66" s="387" t="s">
        <v>133</v>
      </c>
      <c r="H66" s="428">
        <f>'Охрана труда'!M8</f>
        <v>0.83333333333333337</v>
      </c>
      <c r="I66" s="359">
        <v>7</v>
      </c>
      <c r="J66" s="428">
        <f>'Охрана труда'!N8</f>
        <v>1</v>
      </c>
      <c r="K66" s="359">
        <v>10</v>
      </c>
      <c r="L66" s="359">
        <f>G67*D67/D66</f>
        <v>10</v>
      </c>
      <c r="M66" s="428">
        <f>L66+K66+I66</f>
        <v>27</v>
      </c>
      <c r="N66" s="412" t="s">
        <v>313</v>
      </c>
    </row>
    <row r="67" spans="1:14" hidden="1" outlineLevel="1">
      <c r="A67" s="133" t="s">
        <v>349</v>
      </c>
      <c r="B67" s="129" t="s">
        <v>327</v>
      </c>
      <c r="C67" s="179">
        <f>C66</f>
        <v>315</v>
      </c>
      <c r="D67" s="179">
        <f t="shared" ref="D67:E69" si="9">D66</f>
        <v>277.18</v>
      </c>
      <c r="E67" s="181">
        <f t="shared" si="9"/>
        <v>87.993650793650787</v>
      </c>
      <c r="F67" s="438">
        <f>'Охрана труда'!O8</f>
        <v>1</v>
      </c>
      <c r="G67" s="130">
        <v>10</v>
      </c>
      <c r="H67" s="304"/>
      <c r="I67" s="25"/>
      <c r="J67" s="304"/>
      <c r="K67" s="25"/>
      <c r="L67" s="25"/>
      <c r="M67" s="476">
        <v>3</v>
      </c>
      <c r="N67" s="210" t="s">
        <v>322</v>
      </c>
    </row>
    <row r="68" spans="1:14" ht="25.5" collapsed="1">
      <c r="A68" s="367" t="s">
        <v>549</v>
      </c>
      <c r="B68" s="463" t="s">
        <v>550</v>
      </c>
      <c r="C68" s="406">
        <f>Правонарушения!J6</f>
        <v>110</v>
      </c>
      <c r="D68" s="406">
        <f>Правонарушения!K6</f>
        <v>99.95</v>
      </c>
      <c r="E68" s="369">
        <f>Правонарушения!L6</f>
        <v>90.863636363636374</v>
      </c>
      <c r="F68" s="371">
        <f>Правонарушения!M6</f>
        <v>0.86751745584697526</v>
      </c>
      <c r="G68" s="371">
        <v>6</v>
      </c>
      <c r="H68" s="406">
        <f>Правонарушения!N6</f>
        <v>1</v>
      </c>
      <c r="I68" s="375">
        <v>9</v>
      </c>
      <c r="J68" s="406">
        <f>Правонарушения!O6</f>
        <v>0.89700463533415487</v>
      </c>
      <c r="K68" s="375">
        <v>10</v>
      </c>
      <c r="L68" s="375">
        <f>G69*D69/D68</f>
        <v>6</v>
      </c>
      <c r="M68" s="406">
        <f>L68+K68+I68</f>
        <v>25</v>
      </c>
      <c r="N68" s="360" t="s">
        <v>313</v>
      </c>
    </row>
    <row r="69" spans="1:14" hidden="1" outlineLevel="1">
      <c r="A69" s="50" t="s">
        <v>562</v>
      </c>
      <c r="B69" s="114" t="s">
        <v>327</v>
      </c>
      <c r="C69" s="179">
        <f>C68</f>
        <v>110</v>
      </c>
      <c r="D69" s="179">
        <f t="shared" si="9"/>
        <v>99.95</v>
      </c>
      <c r="E69" s="181">
        <f t="shared" si="9"/>
        <v>90.863636363636374</v>
      </c>
      <c r="F69" s="477">
        <f>F68</f>
        <v>0.86751745584697526</v>
      </c>
      <c r="G69" s="478">
        <v>6</v>
      </c>
      <c r="H69" s="304"/>
      <c r="I69" s="25"/>
      <c r="J69" s="304"/>
      <c r="K69" s="25"/>
      <c r="L69" s="25"/>
      <c r="M69" s="305">
        <v>6</v>
      </c>
      <c r="N69" s="210" t="s">
        <v>322</v>
      </c>
    </row>
    <row r="70" spans="1:14" s="2" customFormat="1">
      <c r="C70" s="465"/>
      <c r="D70" s="465"/>
    </row>
    <row r="71" spans="1:14" ht="15.75">
      <c r="B71" s="413" t="s">
        <v>528</v>
      </c>
    </row>
  </sheetData>
  <mergeCells count="19">
    <mergeCell ref="J5:J6"/>
    <mergeCell ref="K5:K6"/>
    <mergeCell ref="L3:L6"/>
    <mergeCell ref="M3:M6"/>
    <mergeCell ref="N3:N6"/>
    <mergeCell ref="J3:K4"/>
    <mergeCell ref="A2:N2"/>
    <mergeCell ref="E5:E6"/>
    <mergeCell ref="D5:D6"/>
    <mergeCell ref="A3:A6"/>
    <mergeCell ref="B3:B6"/>
    <mergeCell ref="F3:G4"/>
    <mergeCell ref="C3:E4"/>
    <mergeCell ref="H3:I4"/>
    <mergeCell ref="F5:F6"/>
    <mergeCell ref="G5:G6"/>
    <mergeCell ref="H5:H6"/>
    <mergeCell ref="I5:I6"/>
    <mergeCell ref="C5:C6"/>
  </mergeCells>
  <pageMargins left="0.7" right="0.7" top="0.75" bottom="0.75" header="0.3" footer="0.3"/>
  <pageSetup paperSize="9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view="pageBreakPreview" zoomScaleNormal="100" zoomScaleSheetLayoutView="100" workbookViewId="0">
      <selection activeCell="M35" sqref="M35"/>
    </sheetView>
  </sheetViews>
  <sheetFormatPr defaultRowHeight="15"/>
  <cols>
    <col min="1" max="1" width="4.42578125" customWidth="1"/>
    <col min="2" max="2" width="45.7109375" customWidth="1"/>
    <col min="3" max="3" width="7.140625" customWidth="1"/>
    <col min="4" max="4" width="10.28515625" bestFit="1" customWidth="1"/>
    <col min="5" max="5" width="8.85546875" customWidth="1"/>
    <col min="6" max="6" width="8.5703125" customWidth="1"/>
    <col min="7" max="7" width="8.28515625" customWidth="1"/>
    <col min="8" max="8" width="19.7109375" customWidth="1"/>
    <col min="9" max="9" width="14.7109375" customWidth="1"/>
    <col min="10" max="11" width="14.85546875" customWidth="1"/>
    <col min="12" max="12" width="8" customWidth="1"/>
    <col min="13" max="13" width="19.140625" customWidth="1"/>
    <col min="14" max="14" width="11.140625" customWidth="1"/>
    <col min="15" max="15" width="15.140625" customWidth="1"/>
  </cols>
  <sheetData>
    <row r="1" spans="1:15" ht="37.5" customHeight="1">
      <c r="A1" s="592" t="s">
        <v>571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15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418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49.5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 ht="30.75" customHeight="1">
      <c r="A6" s="25"/>
      <c r="B6" s="605" t="s">
        <v>253</v>
      </c>
      <c r="C6" s="605"/>
      <c r="D6" s="605"/>
      <c r="E6" s="605"/>
      <c r="F6" s="605"/>
      <c r="G6" s="605"/>
      <c r="H6" s="605"/>
      <c r="I6" s="605"/>
      <c r="J6" s="150">
        <v>3022740.28</v>
      </c>
      <c r="K6" s="189">
        <v>2999273.79</v>
      </c>
      <c r="L6" s="468">
        <f>K6/J6*100</f>
        <v>99.223668333158955</v>
      </c>
      <c r="M6" s="116" t="s">
        <v>133</v>
      </c>
      <c r="N6" s="433">
        <f>H8</f>
        <v>1</v>
      </c>
      <c r="O6" s="469">
        <f>SUM(I12:I17,I21:I23,I25:I27,I30,I33:I34,I39,I43,I45,I47,I49,I51,I53,I55,I57,I59,I30)</f>
        <v>0.74800000000000011</v>
      </c>
    </row>
    <row r="7" spans="1:15" ht="15" customHeight="1">
      <c r="A7" s="25"/>
      <c r="B7" s="606" t="s">
        <v>278</v>
      </c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</row>
    <row r="8" spans="1:15" ht="26.25">
      <c r="A8" s="25">
        <v>1</v>
      </c>
      <c r="B8" s="97" t="s">
        <v>279</v>
      </c>
      <c r="C8" s="117" t="s">
        <v>0</v>
      </c>
      <c r="D8" s="162" t="s">
        <v>31</v>
      </c>
      <c r="E8" s="15">
        <v>59</v>
      </c>
      <c r="F8" s="84">
        <v>59</v>
      </c>
      <c r="G8" s="84">
        <v>59</v>
      </c>
      <c r="H8" s="175">
        <f>G8/F8</f>
        <v>1</v>
      </c>
      <c r="I8" s="37" t="s">
        <v>133</v>
      </c>
      <c r="J8" s="25"/>
      <c r="K8" s="25"/>
      <c r="L8" s="25"/>
      <c r="M8" s="25"/>
      <c r="N8" s="25"/>
      <c r="O8" s="25"/>
    </row>
    <row r="9" spans="1:15" ht="17.25" customHeight="1">
      <c r="A9" s="25"/>
      <c r="B9" s="607" t="s">
        <v>280</v>
      </c>
      <c r="C9" s="607"/>
      <c r="D9" s="607"/>
      <c r="E9" s="607"/>
      <c r="F9" s="607"/>
      <c r="G9" s="607"/>
      <c r="H9" s="607"/>
      <c r="I9" s="607"/>
      <c r="J9" s="607"/>
      <c r="K9" s="607"/>
      <c r="L9" s="607"/>
      <c r="M9" s="607"/>
      <c r="N9" s="607"/>
      <c r="O9" s="607"/>
    </row>
    <row r="10" spans="1:15" ht="30" customHeight="1">
      <c r="A10" s="25"/>
      <c r="B10" s="603" t="s">
        <v>281</v>
      </c>
      <c r="C10" s="603"/>
      <c r="D10" s="603"/>
      <c r="E10" s="603"/>
      <c r="F10" s="603"/>
      <c r="G10" s="603"/>
      <c r="H10" s="603"/>
      <c r="I10" s="584"/>
      <c r="J10" s="61">
        <v>30555.53</v>
      </c>
      <c r="K10" s="61">
        <v>30555.53</v>
      </c>
      <c r="L10" s="63">
        <f>K10/J10*100</f>
        <v>100</v>
      </c>
      <c r="M10" s="203">
        <f>AVERAGE(H12:H16)</f>
        <v>1</v>
      </c>
      <c r="N10" s="210"/>
      <c r="O10" s="210"/>
    </row>
    <row r="11" spans="1:15" ht="26.25">
      <c r="A11" s="25"/>
      <c r="B11" s="97" t="s">
        <v>282</v>
      </c>
      <c r="C11" s="97"/>
      <c r="D11" s="141"/>
      <c r="E11" s="25"/>
      <c r="F11" s="25"/>
      <c r="G11" s="25"/>
      <c r="H11" s="212"/>
      <c r="I11" s="141"/>
      <c r="J11" s="25"/>
      <c r="K11" s="25"/>
      <c r="L11" s="25"/>
      <c r="M11" s="25"/>
      <c r="N11" s="25"/>
      <c r="O11" s="25"/>
    </row>
    <row r="12" spans="1:15">
      <c r="A12" s="25"/>
      <c r="B12" s="216" t="s">
        <v>283</v>
      </c>
      <c r="C12" s="97" t="s">
        <v>284</v>
      </c>
      <c r="D12" s="213">
        <v>4.1000000000000002E-2</v>
      </c>
      <c r="E12" s="192">
        <v>4.5999999999999996</v>
      </c>
      <c r="F12" s="156">
        <v>4.5999999999999996</v>
      </c>
      <c r="G12" s="156">
        <v>4.5999999999999996</v>
      </c>
      <c r="H12" s="214">
        <f>G13/F13</f>
        <v>1</v>
      </c>
      <c r="I12" s="141">
        <f>H12*D12</f>
        <v>4.1000000000000002E-2</v>
      </c>
      <c r="J12" s="25"/>
      <c r="K12" s="25"/>
      <c r="L12" s="25"/>
      <c r="M12" s="25"/>
      <c r="N12" s="25"/>
      <c r="O12" s="25"/>
    </row>
    <row r="13" spans="1:15">
      <c r="A13" s="25"/>
      <c r="B13" s="216" t="s">
        <v>285</v>
      </c>
      <c r="C13" s="97" t="s">
        <v>284</v>
      </c>
      <c r="D13" s="213">
        <v>4.1000000000000002E-2</v>
      </c>
      <c r="E13" s="193">
        <v>6.4</v>
      </c>
      <c r="F13" s="156">
        <v>6.4</v>
      </c>
      <c r="G13" s="156">
        <v>6.4</v>
      </c>
      <c r="H13" s="214">
        <f>G14/F14</f>
        <v>1</v>
      </c>
      <c r="I13" s="141">
        <f t="shared" ref="I13:I17" si="0">H13*D13</f>
        <v>4.1000000000000002E-2</v>
      </c>
      <c r="J13" s="25"/>
      <c r="K13" s="25"/>
      <c r="L13" s="25"/>
      <c r="M13" s="25"/>
      <c r="N13" s="25"/>
      <c r="O13" s="25"/>
    </row>
    <row r="14" spans="1:15">
      <c r="A14" s="25"/>
      <c r="B14" s="216" t="s">
        <v>286</v>
      </c>
      <c r="C14" s="97" t="s">
        <v>284</v>
      </c>
      <c r="D14" s="213">
        <v>4.1000000000000002E-2</v>
      </c>
      <c r="E14" s="193">
        <v>2.35</v>
      </c>
      <c r="F14" s="156">
        <v>2.35</v>
      </c>
      <c r="G14" s="156">
        <v>2.35</v>
      </c>
      <c r="H14" s="214">
        <v>1</v>
      </c>
      <c r="I14" s="141">
        <f t="shared" si="0"/>
        <v>4.1000000000000002E-2</v>
      </c>
      <c r="J14" s="25"/>
      <c r="K14" s="25"/>
      <c r="L14" s="25"/>
      <c r="M14" s="25"/>
      <c r="N14" s="25"/>
      <c r="O14" s="25"/>
    </row>
    <row r="15" spans="1:15" s="2" customFormat="1">
      <c r="A15" s="25"/>
      <c r="B15" s="216" t="s">
        <v>491</v>
      </c>
      <c r="C15" s="97" t="s">
        <v>284</v>
      </c>
      <c r="D15" s="213">
        <v>4.1000000000000002E-2</v>
      </c>
      <c r="E15" s="193">
        <v>2.46</v>
      </c>
      <c r="F15" s="156">
        <v>2.46</v>
      </c>
      <c r="G15" s="156">
        <v>2.46</v>
      </c>
      <c r="H15" s="214">
        <v>1</v>
      </c>
      <c r="I15" s="141">
        <f t="shared" si="0"/>
        <v>4.1000000000000002E-2</v>
      </c>
      <c r="J15" s="25"/>
      <c r="K15" s="25"/>
      <c r="L15" s="25"/>
      <c r="M15" s="25"/>
      <c r="N15" s="25"/>
      <c r="O15" s="25"/>
    </row>
    <row r="16" spans="1:15" ht="22.5" customHeight="1">
      <c r="A16" s="25"/>
      <c r="B16" s="329" t="s">
        <v>287</v>
      </c>
      <c r="C16" s="97" t="s">
        <v>284</v>
      </c>
      <c r="D16" s="213">
        <v>4.1000000000000002E-2</v>
      </c>
      <c r="E16" s="193" t="s">
        <v>288</v>
      </c>
      <c r="F16" s="156" t="s">
        <v>288</v>
      </c>
      <c r="G16" s="156" t="s">
        <v>288</v>
      </c>
      <c r="H16" s="214">
        <v>1</v>
      </c>
      <c r="I16" s="141">
        <f t="shared" si="0"/>
        <v>4.1000000000000002E-2</v>
      </c>
      <c r="J16" s="25"/>
      <c r="K16" s="25"/>
      <c r="L16" s="25"/>
      <c r="M16" s="25"/>
      <c r="N16" s="25"/>
      <c r="O16" s="25"/>
    </row>
    <row r="17" spans="1:15" s="2" customFormat="1" ht="25.5" customHeight="1">
      <c r="A17" s="25"/>
      <c r="B17" s="329" t="s">
        <v>490</v>
      </c>
      <c r="C17" s="97" t="s">
        <v>284</v>
      </c>
      <c r="D17" s="213">
        <v>4.1000000000000002E-2</v>
      </c>
      <c r="E17" s="193" t="s">
        <v>489</v>
      </c>
      <c r="F17" s="156" t="s">
        <v>489</v>
      </c>
      <c r="G17" s="156" t="s">
        <v>488</v>
      </c>
      <c r="H17" s="214">
        <v>1</v>
      </c>
      <c r="I17" s="141">
        <f t="shared" si="0"/>
        <v>4.1000000000000002E-2</v>
      </c>
      <c r="J17" s="319"/>
      <c r="K17" s="319"/>
      <c r="L17" s="319"/>
      <c r="M17" s="319"/>
      <c r="N17" s="319"/>
      <c r="O17" s="300"/>
    </row>
    <row r="18" spans="1:15" ht="14.25" customHeight="1">
      <c r="A18" s="25"/>
      <c r="B18" s="550" t="s">
        <v>289</v>
      </c>
      <c r="C18" s="551"/>
      <c r="D18" s="551"/>
      <c r="E18" s="551"/>
      <c r="F18" s="551"/>
      <c r="G18" s="551"/>
      <c r="H18" s="551"/>
      <c r="I18" s="551"/>
      <c r="J18" s="551"/>
      <c r="K18" s="551"/>
      <c r="L18" s="551"/>
      <c r="M18" s="551"/>
      <c r="N18" s="551"/>
      <c r="O18" s="552"/>
    </row>
    <row r="19" spans="1:15" ht="28.5" customHeight="1">
      <c r="A19" s="25"/>
      <c r="B19" s="584" t="s">
        <v>290</v>
      </c>
      <c r="C19" s="585"/>
      <c r="D19" s="585"/>
      <c r="E19" s="585"/>
      <c r="F19" s="585"/>
      <c r="G19" s="585"/>
      <c r="H19" s="585"/>
      <c r="I19" s="604"/>
      <c r="J19" s="59">
        <v>0</v>
      </c>
      <c r="K19" s="59">
        <v>0</v>
      </c>
      <c r="L19" s="59">
        <v>100</v>
      </c>
      <c r="M19" s="203">
        <f>AVERAGE(H21:H23,H25:H27)</f>
        <v>1</v>
      </c>
      <c r="N19" s="211"/>
      <c r="O19" s="211"/>
    </row>
    <row r="20" spans="1:15" ht="64.5" customHeight="1">
      <c r="A20" s="25"/>
      <c r="B20" s="29" t="s">
        <v>291</v>
      </c>
      <c r="C20" s="29"/>
      <c r="D20" s="162"/>
      <c r="E20" s="212"/>
      <c r="F20" s="165"/>
      <c r="G20" s="165"/>
      <c r="H20" s="212"/>
      <c r="I20" s="218"/>
      <c r="J20" s="25"/>
      <c r="K20" s="25"/>
      <c r="L20" s="25"/>
      <c r="M20" s="25"/>
      <c r="N20" s="25"/>
      <c r="O20" s="25"/>
    </row>
    <row r="21" spans="1:15">
      <c r="A21" s="25"/>
      <c r="B21" s="215" t="s">
        <v>292</v>
      </c>
      <c r="C21" s="119" t="s">
        <v>0</v>
      </c>
      <c r="D21" s="193">
        <v>4.2000000000000003E-2</v>
      </c>
      <c r="E21" s="193">
        <v>100</v>
      </c>
      <c r="F21" s="156">
        <v>100</v>
      </c>
      <c r="G21" s="156">
        <v>100</v>
      </c>
      <c r="H21" s="214">
        <f>G21/F21</f>
        <v>1</v>
      </c>
      <c r="I21" s="219">
        <f>H21*D21</f>
        <v>4.2000000000000003E-2</v>
      </c>
      <c r="J21" s="25"/>
      <c r="K21" s="25"/>
      <c r="L21" s="25"/>
      <c r="M21" s="25"/>
      <c r="N21" s="25"/>
      <c r="O21" s="25"/>
    </row>
    <row r="22" spans="1:15">
      <c r="A22" s="25"/>
      <c r="B22" s="215" t="s">
        <v>293</v>
      </c>
      <c r="C22" s="119" t="s">
        <v>0</v>
      </c>
      <c r="D22" s="193">
        <v>4.1000000000000002E-2</v>
      </c>
      <c r="E22" s="193">
        <v>75</v>
      </c>
      <c r="F22" s="156">
        <v>75</v>
      </c>
      <c r="G22" s="156">
        <v>75</v>
      </c>
      <c r="H22" s="214">
        <f t="shared" ref="H22:H27" si="1">G22/F22</f>
        <v>1</v>
      </c>
      <c r="I22" s="219">
        <f t="shared" ref="I22:I26" si="2">H22*D22</f>
        <v>4.1000000000000002E-2</v>
      </c>
      <c r="J22" s="25"/>
      <c r="K22" s="25"/>
      <c r="L22" s="25"/>
      <c r="M22" s="25"/>
      <c r="N22" s="25"/>
      <c r="O22" s="25"/>
    </row>
    <row r="23" spans="1:15">
      <c r="A23" s="25"/>
      <c r="B23" s="215" t="s">
        <v>294</v>
      </c>
      <c r="C23" s="119" t="s">
        <v>0</v>
      </c>
      <c r="D23" s="193">
        <v>4.2000000000000003E-2</v>
      </c>
      <c r="E23" s="193">
        <v>100</v>
      </c>
      <c r="F23" s="156">
        <v>100</v>
      </c>
      <c r="G23" s="156">
        <v>100</v>
      </c>
      <c r="H23" s="214">
        <f t="shared" si="1"/>
        <v>1</v>
      </c>
      <c r="I23" s="219">
        <f t="shared" si="2"/>
        <v>4.2000000000000003E-2</v>
      </c>
      <c r="J23" s="25"/>
      <c r="K23" s="25"/>
      <c r="L23" s="25"/>
      <c r="M23" s="25"/>
      <c r="N23" s="25"/>
      <c r="O23" s="25"/>
    </row>
    <row r="24" spans="1:15" ht="81" customHeight="1">
      <c r="A24" s="25"/>
      <c r="B24" s="29" t="s">
        <v>295</v>
      </c>
      <c r="C24" s="29"/>
      <c r="D24" s="193"/>
      <c r="E24" s="193"/>
      <c r="F24" s="156"/>
      <c r="G24" s="156"/>
      <c r="H24" s="214"/>
      <c r="I24" s="219"/>
      <c r="J24" s="25"/>
      <c r="K24" s="25"/>
      <c r="L24" s="25"/>
      <c r="M24" s="25"/>
      <c r="N24" s="25"/>
      <c r="O24" s="25"/>
    </row>
    <row r="25" spans="1:15">
      <c r="A25" s="25"/>
      <c r="B25" s="215" t="s">
        <v>292</v>
      </c>
      <c r="C25" s="119" t="s">
        <v>0</v>
      </c>
      <c r="D25" s="193">
        <v>4.2000000000000003E-2</v>
      </c>
      <c r="E25" s="193">
        <v>100</v>
      </c>
      <c r="F25" s="156">
        <v>100</v>
      </c>
      <c r="G25" s="156">
        <v>100</v>
      </c>
      <c r="H25" s="214">
        <f t="shared" si="1"/>
        <v>1</v>
      </c>
      <c r="I25" s="219">
        <f t="shared" si="2"/>
        <v>4.2000000000000003E-2</v>
      </c>
      <c r="J25" s="25"/>
      <c r="K25" s="25"/>
      <c r="L25" s="25"/>
      <c r="M25" s="25"/>
      <c r="N25" s="25"/>
      <c r="O25" s="25"/>
    </row>
    <row r="26" spans="1:15">
      <c r="A26" s="25"/>
      <c r="B26" s="215" t="s">
        <v>293</v>
      </c>
      <c r="C26" s="119" t="s">
        <v>0</v>
      </c>
      <c r="D26" s="193">
        <v>4.1000000000000002E-2</v>
      </c>
      <c r="E26" s="193">
        <v>75</v>
      </c>
      <c r="F26" s="156">
        <v>75</v>
      </c>
      <c r="G26" s="156">
        <v>75</v>
      </c>
      <c r="H26" s="214">
        <f t="shared" si="1"/>
        <v>1</v>
      </c>
      <c r="I26" s="219">
        <f t="shared" si="2"/>
        <v>4.1000000000000002E-2</v>
      </c>
      <c r="J26" s="25"/>
      <c r="K26" s="25"/>
      <c r="L26" s="25"/>
      <c r="M26" s="25"/>
      <c r="N26" s="25"/>
      <c r="O26" s="25"/>
    </row>
    <row r="27" spans="1:15">
      <c r="A27" s="25"/>
      <c r="B27" s="215" t="s">
        <v>294</v>
      </c>
      <c r="C27" s="119" t="s">
        <v>0</v>
      </c>
      <c r="D27" s="193">
        <v>4.2000000000000003E-2</v>
      </c>
      <c r="E27" s="193">
        <v>100</v>
      </c>
      <c r="F27" s="156">
        <v>100</v>
      </c>
      <c r="G27" s="156">
        <v>100</v>
      </c>
      <c r="H27" s="214">
        <f t="shared" si="1"/>
        <v>1</v>
      </c>
      <c r="I27" s="219">
        <f>H27*D27</f>
        <v>4.2000000000000003E-2</v>
      </c>
      <c r="J27" s="25"/>
      <c r="K27" s="25"/>
      <c r="L27" s="25"/>
      <c r="M27" s="25"/>
      <c r="N27" s="25"/>
      <c r="O27" s="25"/>
    </row>
    <row r="28" spans="1:15" ht="15" customHeight="1">
      <c r="A28" s="25"/>
      <c r="B28" s="550" t="s">
        <v>296</v>
      </c>
      <c r="C28" s="551"/>
      <c r="D28" s="551"/>
      <c r="E28" s="551"/>
      <c r="F28" s="551"/>
      <c r="G28" s="551"/>
      <c r="H28" s="551"/>
      <c r="I28" s="551"/>
      <c r="J28" s="551"/>
      <c r="K28" s="551"/>
      <c r="L28" s="551"/>
      <c r="M28" s="551"/>
      <c r="N28" s="551"/>
      <c r="O28" s="552"/>
    </row>
    <row r="29" spans="1:15">
      <c r="A29" s="25"/>
      <c r="B29" s="603" t="s">
        <v>297</v>
      </c>
      <c r="C29" s="603"/>
      <c r="D29" s="603"/>
      <c r="E29" s="603"/>
      <c r="F29" s="603"/>
      <c r="G29" s="603"/>
      <c r="H29" s="603"/>
      <c r="I29" s="59"/>
      <c r="J29" s="59">
        <v>0</v>
      </c>
      <c r="K29" s="59">
        <v>0</v>
      </c>
      <c r="L29" s="59">
        <v>0</v>
      </c>
      <c r="M29" s="60">
        <f>AVERAGE(H30)</f>
        <v>0</v>
      </c>
      <c r="N29" s="3"/>
      <c r="O29" s="3"/>
    </row>
    <row r="30" spans="1:15" ht="69.75" customHeight="1">
      <c r="A30" s="25"/>
      <c r="B30" s="29" t="s">
        <v>298</v>
      </c>
      <c r="C30" s="119" t="s">
        <v>0</v>
      </c>
      <c r="D30" s="213">
        <v>4.2000000000000003E-2</v>
      </c>
      <c r="E30" s="119" t="s">
        <v>133</v>
      </c>
      <c r="F30" s="145" t="s">
        <v>133</v>
      </c>
      <c r="G30" s="145" t="s">
        <v>133</v>
      </c>
      <c r="H30" s="118">
        <v>0</v>
      </c>
      <c r="I30" s="470">
        <f>D30*H30</f>
        <v>0</v>
      </c>
      <c r="J30" s="444" t="s">
        <v>611</v>
      </c>
      <c r="K30" s="25"/>
      <c r="L30" s="25"/>
      <c r="M30" s="25"/>
      <c r="N30" s="25"/>
      <c r="O30" s="25"/>
    </row>
    <row r="31" spans="1:15" ht="17.25" customHeight="1">
      <c r="A31" s="25"/>
      <c r="B31" s="550" t="s">
        <v>299</v>
      </c>
      <c r="C31" s="551"/>
      <c r="D31" s="551"/>
      <c r="E31" s="551"/>
      <c r="F31" s="551"/>
      <c r="G31" s="551"/>
      <c r="H31" s="551"/>
      <c r="I31" s="551"/>
      <c r="J31" s="551"/>
      <c r="K31" s="551"/>
      <c r="L31" s="551"/>
      <c r="M31" s="551"/>
      <c r="N31" s="551"/>
      <c r="O31" s="552"/>
    </row>
    <row r="32" spans="1:15">
      <c r="A32" s="25"/>
      <c r="B32" s="603" t="s">
        <v>300</v>
      </c>
      <c r="C32" s="603"/>
      <c r="D32" s="603"/>
      <c r="E32" s="603"/>
      <c r="F32" s="603"/>
      <c r="G32" s="603"/>
      <c r="H32" s="603"/>
      <c r="I32" s="59"/>
      <c r="J32" s="189">
        <v>20923.86</v>
      </c>
      <c r="K32" s="189">
        <v>20802.080000000002</v>
      </c>
      <c r="L32" s="201">
        <f>K32/J32*100</f>
        <v>99.417985018060733</v>
      </c>
      <c r="M32" s="61">
        <f>AVERAGE(H33:H34)</f>
        <v>1</v>
      </c>
      <c r="N32" s="211"/>
      <c r="O32" s="211"/>
    </row>
    <row r="33" spans="1:15" ht="26.25">
      <c r="A33" s="25"/>
      <c r="B33" s="120" t="s">
        <v>419</v>
      </c>
      <c r="C33" s="119" t="s">
        <v>0</v>
      </c>
      <c r="D33" s="213">
        <v>4.2000000000000003E-2</v>
      </c>
      <c r="E33" s="193">
        <v>97.3</v>
      </c>
      <c r="F33" s="156">
        <v>95.4</v>
      </c>
      <c r="G33" s="156">
        <v>99.42</v>
      </c>
      <c r="H33" s="214">
        <v>1</v>
      </c>
      <c r="I33" s="162">
        <f>H33*D33</f>
        <v>4.2000000000000003E-2</v>
      </c>
      <c r="J33" s="25"/>
      <c r="K33" s="25"/>
      <c r="L33" s="25"/>
      <c r="M33" s="25"/>
      <c r="N33" s="3"/>
      <c r="O33" s="3"/>
    </row>
    <row r="34" spans="1:15" ht="39">
      <c r="A34" s="25"/>
      <c r="B34" s="120" t="s">
        <v>301</v>
      </c>
      <c r="C34" s="119" t="s">
        <v>0</v>
      </c>
      <c r="D34" s="213">
        <v>4.2000000000000003E-2</v>
      </c>
      <c r="E34" s="193">
        <v>100</v>
      </c>
      <c r="F34" s="156">
        <v>100</v>
      </c>
      <c r="G34" s="156">
        <v>100</v>
      </c>
      <c r="H34" s="214">
        <v>1</v>
      </c>
      <c r="I34" s="162">
        <f>H34*D34</f>
        <v>4.2000000000000003E-2</v>
      </c>
      <c r="J34" s="25"/>
      <c r="K34" s="25"/>
      <c r="L34" s="25"/>
      <c r="M34" s="25"/>
      <c r="N34" s="25"/>
      <c r="O34" s="25"/>
    </row>
    <row r="35" spans="1:15">
      <c r="A35" s="25"/>
      <c r="B35" s="603" t="s">
        <v>302</v>
      </c>
      <c r="C35" s="603"/>
      <c r="D35" s="603"/>
      <c r="E35" s="603"/>
      <c r="F35" s="603"/>
      <c r="G35" s="603"/>
      <c r="H35" s="603"/>
      <c r="I35" s="421"/>
      <c r="J35" s="189">
        <v>2971260.89</v>
      </c>
      <c r="K35" s="189">
        <v>2947916.18</v>
      </c>
      <c r="L35" s="58">
        <f>K35/J35*100</f>
        <v>99.214316384045304</v>
      </c>
      <c r="M35" s="61">
        <f>AVERAGE(H39,H43,H47,H49,H51,H53,H55,H57,H59)</f>
        <v>0.44444444444444442</v>
      </c>
      <c r="N35" s="211"/>
      <c r="O35" s="211"/>
    </row>
    <row r="36" spans="1:15" ht="40.5" customHeight="1">
      <c r="A36" s="25"/>
      <c r="B36" s="602" t="s">
        <v>613</v>
      </c>
      <c r="C36" s="602"/>
      <c r="D36" s="602"/>
      <c r="E36" s="602"/>
      <c r="F36" s="602"/>
      <c r="G36" s="602"/>
      <c r="H36" s="602"/>
      <c r="I36" s="25"/>
      <c r="J36" s="25"/>
      <c r="K36" s="25"/>
      <c r="L36" s="25"/>
      <c r="M36" s="25"/>
      <c r="N36" s="25"/>
      <c r="O36" s="25"/>
    </row>
    <row r="37" spans="1:15" s="2" customFormat="1" ht="76.5" customHeight="1">
      <c r="A37" s="25"/>
      <c r="B37" s="120" t="s">
        <v>612</v>
      </c>
      <c r="C37" s="66" t="s">
        <v>119</v>
      </c>
      <c r="D37" s="41"/>
      <c r="E37" s="120">
        <v>0</v>
      </c>
      <c r="F37" s="502">
        <v>0</v>
      </c>
      <c r="G37" s="502">
        <v>0</v>
      </c>
      <c r="H37" s="120">
        <v>0</v>
      </c>
      <c r="I37" s="154">
        <v>0</v>
      </c>
      <c r="J37" s="25"/>
      <c r="K37" s="25"/>
      <c r="L37" s="25"/>
      <c r="M37" s="25"/>
      <c r="N37" s="25"/>
      <c r="O37" s="25"/>
    </row>
    <row r="38" spans="1:15" ht="38.25" customHeight="1">
      <c r="A38" s="25"/>
      <c r="B38" s="120" t="s">
        <v>582</v>
      </c>
      <c r="C38" s="66" t="s">
        <v>583</v>
      </c>
      <c r="D38" s="41"/>
      <c r="E38" s="212">
        <v>79</v>
      </c>
      <c r="F38" s="165">
        <v>0</v>
      </c>
      <c r="G38" s="165">
        <v>0</v>
      </c>
      <c r="H38" s="214">
        <v>0</v>
      </c>
      <c r="I38" s="162">
        <f>H38*D38</f>
        <v>0</v>
      </c>
      <c r="J38" s="25"/>
      <c r="K38" s="25"/>
      <c r="L38" s="25"/>
      <c r="M38" s="25"/>
      <c r="N38" s="25"/>
      <c r="O38" s="25"/>
    </row>
    <row r="39" spans="1:15" s="2" customFormat="1" ht="75.75" customHeight="1">
      <c r="A39" s="25"/>
      <c r="B39" s="120" t="s">
        <v>614</v>
      </c>
      <c r="C39" s="66" t="s">
        <v>583</v>
      </c>
      <c r="D39" s="41">
        <v>4.2000000000000003E-2</v>
      </c>
      <c r="E39" s="212">
        <v>0</v>
      </c>
      <c r="F39" s="165">
        <v>100</v>
      </c>
      <c r="G39" s="165">
        <v>100</v>
      </c>
      <c r="H39" s="214">
        <f>G39/F39</f>
        <v>1</v>
      </c>
      <c r="I39" s="162">
        <f>H39*D39</f>
        <v>4.2000000000000003E-2</v>
      </c>
      <c r="J39" s="25"/>
      <c r="K39" s="25"/>
      <c r="L39" s="25"/>
      <c r="M39" s="25"/>
      <c r="N39" s="25"/>
      <c r="O39" s="25"/>
    </row>
    <row r="40" spans="1:15" ht="18" customHeight="1">
      <c r="A40" s="25"/>
      <c r="B40" s="602" t="s">
        <v>303</v>
      </c>
      <c r="C40" s="602"/>
      <c r="D40" s="602"/>
      <c r="E40" s="602"/>
      <c r="F40" s="602"/>
      <c r="G40" s="602"/>
      <c r="H40" s="602"/>
      <c r="I40" s="25"/>
      <c r="J40" s="25"/>
      <c r="K40" s="25"/>
      <c r="L40" s="25"/>
      <c r="M40" s="25"/>
      <c r="N40" s="25"/>
      <c r="O40" s="25"/>
    </row>
    <row r="41" spans="1:15" s="2" customFormat="1" ht="44.25" customHeight="1">
      <c r="A41" s="25"/>
      <c r="B41" s="120" t="s">
        <v>615</v>
      </c>
      <c r="C41" s="490" t="s">
        <v>0</v>
      </c>
      <c r="D41" s="490"/>
      <c r="E41" s="490">
        <v>4</v>
      </c>
      <c r="F41" s="490">
        <v>0</v>
      </c>
      <c r="G41" s="490">
        <v>0</v>
      </c>
      <c r="H41" s="490">
        <v>0</v>
      </c>
      <c r="I41" s="25">
        <v>0</v>
      </c>
      <c r="J41" s="25"/>
      <c r="K41" s="25"/>
      <c r="L41" s="25"/>
      <c r="M41" s="25"/>
      <c r="N41" s="25"/>
      <c r="O41" s="25"/>
    </row>
    <row r="42" spans="1:15" ht="39">
      <c r="A42" s="25"/>
      <c r="B42" s="120" t="s">
        <v>584</v>
      </c>
      <c r="C42" s="119" t="s">
        <v>583</v>
      </c>
      <c r="D42" s="29"/>
      <c r="E42" s="212">
        <v>70</v>
      </c>
      <c r="F42" s="165">
        <v>0</v>
      </c>
      <c r="G42" s="165">
        <v>0</v>
      </c>
      <c r="H42" s="214">
        <v>0</v>
      </c>
      <c r="I42" s="220">
        <f>H42*D42</f>
        <v>0</v>
      </c>
      <c r="J42" s="25"/>
      <c r="K42" s="25"/>
      <c r="L42" s="25"/>
      <c r="M42" s="25"/>
      <c r="N42" s="25"/>
      <c r="O42" s="25"/>
    </row>
    <row r="43" spans="1:15" s="2" customFormat="1" ht="77.25">
      <c r="A43" s="25"/>
      <c r="B43" s="120" t="s">
        <v>614</v>
      </c>
      <c r="C43" s="119" t="s">
        <v>583</v>
      </c>
      <c r="D43" s="29">
        <v>4.2000000000000003E-2</v>
      </c>
      <c r="E43" s="212">
        <v>0</v>
      </c>
      <c r="F43" s="165">
        <v>100</v>
      </c>
      <c r="G43" s="165">
        <v>100</v>
      </c>
      <c r="H43" s="214">
        <f>G43/F43</f>
        <v>1</v>
      </c>
      <c r="I43" s="220">
        <f>D43*H43</f>
        <v>4.2000000000000003E-2</v>
      </c>
      <c r="J43" s="25"/>
      <c r="K43" s="25"/>
      <c r="L43" s="25"/>
      <c r="M43" s="25"/>
      <c r="N43" s="25"/>
      <c r="O43" s="25"/>
    </row>
    <row r="44" spans="1:15" ht="53.25" customHeight="1">
      <c r="A44" s="25"/>
      <c r="B44" s="602" t="s">
        <v>616</v>
      </c>
      <c r="C44" s="602"/>
      <c r="D44" s="602"/>
      <c r="E44" s="602"/>
      <c r="F44" s="602"/>
      <c r="G44" s="602"/>
      <c r="H44" s="602"/>
      <c r="I44" s="25"/>
      <c r="J44" s="25"/>
      <c r="K44" s="25"/>
      <c r="L44" s="25"/>
      <c r="M44" s="25"/>
      <c r="N44" s="25"/>
      <c r="O44" s="25"/>
    </row>
    <row r="45" spans="1:15" ht="80.25" hidden="1" customHeight="1">
      <c r="A45" s="25"/>
      <c r="B45" s="120" t="s">
        <v>304</v>
      </c>
      <c r="C45" s="119" t="s">
        <v>305</v>
      </c>
      <c r="D45" s="29">
        <v>4.2000000000000003E-2</v>
      </c>
      <c r="E45" s="212">
        <v>3</v>
      </c>
      <c r="F45" s="165">
        <v>0</v>
      </c>
      <c r="G45" s="165">
        <v>0</v>
      </c>
      <c r="H45" s="214">
        <v>0</v>
      </c>
      <c r="I45" s="162">
        <f>H45*D45</f>
        <v>0</v>
      </c>
      <c r="J45" s="25"/>
      <c r="K45" s="25"/>
      <c r="L45" s="25"/>
      <c r="M45" s="25"/>
      <c r="N45" s="25"/>
      <c r="O45" s="25"/>
    </row>
    <row r="46" spans="1:15" s="2" customFormat="1" ht="55.5" customHeight="1">
      <c r="A46" s="25"/>
      <c r="B46" s="602" t="s">
        <v>617</v>
      </c>
      <c r="C46" s="602"/>
      <c r="D46" s="602"/>
      <c r="E46" s="602"/>
      <c r="F46" s="602"/>
      <c r="G46" s="602"/>
      <c r="H46" s="602"/>
      <c r="I46" s="162"/>
      <c r="J46" s="25"/>
      <c r="K46" s="25"/>
      <c r="L46" s="25"/>
      <c r="M46" s="25"/>
      <c r="N46" s="25"/>
      <c r="O46" s="25"/>
    </row>
    <row r="47" spans="1:15" s="2" customFormat="1" ht="84" customHeight="1">
      <c r="A47" s="25"/>
      <c r="B47" s="503" t="s">
        <v>618</v>
      </c>
      <c r="C47" s="119" t="s">
        <v>119</v>
      </c>
      <c r="D47" s="29">
        <v>4.2000000000000003E-2</v>
      </c>
      <c r="E47" s="212">
        <v>3</v>
      </c>
      <c r="F47" s="165">
        <v>0</v>
      </c>
      <c r="G47" s="165">
        <v>0</v>
      </c>
      <c r="H47" s="214">
        <v>0</v>
      </c>
      <c r="I47" s="162">
        <f>H47*D47</f>
        <v>0</v>
      </c>
      <c r="J47" s="25"/>
      <c r="K47" s="25"/>
      <c r="L47" s="25"/>
      <c r="M47" s="25"/>
      <c r="N47" s="25"/>
      <c r="O47" s="25"/>
    </row>
    <row r="48" spans="1:15" ht="27" customHeight="1">
      <c r="A48" s="25"/>
      <c r="B48" s="602" t="s">
        <v>535</v>
      </c>
      <c r="C48" s="602"/>
      <c r="D48" s="602"/>
      <c r="E48" s="602"/>
      <c r="F48" s="602"/>
      <c r="G48" s="602"/>
      <c r="H48" s="602"/>
      <c r="I48" s="25"/>
      <c r="J48" s="25"/>
      <c r="K48" s="25"/>
      <c r="L48" s="25"/>
      <c r="M48" s="25"/>
      <c r="N48" s="25"/>
      <c r="O48" s="25"/>
    </row>
    <row r="49" spans="1:15" ht="57.75" customHeight="1">
      <c r="A49" s="25"/>
      <c r="B49" s="120" t="s">
        <v>306</v>
      </c>
      <c r="C49" s="119" t="s">
        <v>307</v>
      </c>
      <c r="D49" s="213">
        <v>4.2000000000000003E-2</v>
      </c>
      <c r="E49" s="212">
        <v>2</v>
      </c>
      <c r="F49" s="165">
        <v>2</v>
      </c>
      <c r="G49" s="165">
        <v>2</v>
      </c>
      <c r="H49" s="214">
        <v>1</v>
      </c>
      <c r="I49" s="209">
        <f>H49*D49</f>
        <v>4.2000000000000003E-2</v>
      </c>
      <c r="J49" s="25"/>
      <c r="K49" s="25"/>
      <c r="L49" s="25"/>
      <c r="M49" s="25"/>
      <c r="N49" s="25"/>
      <c r="O49" s="25"/>
    </row>
    <row r="50" spans="1:15" ht="79.5" customHeight="1">
      <c r="A50" s="25"/>
      <c r="B50" s="602" t="s">
        <v>536</v>
      </c>
      <c r="C50" s="602"/>
      <c r="D50" s="602"/>
      <c r="E50" s="602"/>
      <c r="F50" s="602"/>
      <c r="G50" s="602"/>
      <c r="H50" s="602"/>
      <c r="I50" s="25"/>
      <c r="J50" s="25"/>
      <c r="K50" s="25"/>
      <c r="L50" s="25"/>
      <c r="M50" s="25"/>
      <c r="N50" s="25"/>
      <c r="O50" s="25"/>
    </row>
    <row r="51" spans="1:15" ht="141">
      <c r="A51" s="25"/>
      <c r="B51" s="120" t="s">
        <v>308</v>
      </c>
      <c r="C51" s="119" t="s">
        <v>307</v>
      </c>
      <c r="D51" s="213">
        <v>4.2000000000000003E-2</v>
      </c>
      <c r="E51" s="212">
        <v>1</v>
      </c>
      <c r="F51" s="165">
        <v>2</v>
      </c>
      <c r="G51" s="165">
        <v>0</v>
      </c>
      <c r="H51" s="214">
        <v>0</v>
      </c>
      <c r="I51" s="162">
        <f>H51*D51</f>
        <v>0</v>
      </c>
      <c r="J51" s="25"/>
      <c r="K51" s="25"/>
      <c r="L51" s="25"/>
      <c r="M51" s="25"/>
      <c r="N51" s="25"/>
      <c r="O51" s="25"/>
    </row>
    <row r="52" spans="1:15" s="2" customFormat="1" ht="30" customHeight="1">
      <c r="A52" s="25"/>
      <c r="B52" s="602" t="s">
        <v>537</v>
      </c>
      <c r="C52" s="602"/>
      <c r="D52" s="602"/>
      <c r="E52" s="602"/>
      <c r="F52" s="602"/>
      <c r="G52" s="602"/>
      <c r="H52" s="602"/>
      <c r="I52" s="121"/>
      <c r="J52" s="121"/>
      <c r="K52" s="121"/>
      <c r="L52" s="121"/>
      <c r="M52" s="121"/>
      <c r="N52" s="121"/>
      <c r="O52" s="121"/>
    </row>
    <row r="53" spans="1:15" s="2" customFormat="1" ht="66" customHeight="1">
      <c r="A53" s="25"/>
      <c r="B53" s="120" t="s">
        <v>312</v>
      </c>
      <c r="C53" s="122" t="s">
        <v>307</v>
      </c>
      <c r="D53" s="213">
        <v>4.2000000000000003E-2</v>
      </c>
      <c r="E53" s="212">
        <v>2</v>
      </c>
      <c r="F53" s="165">
        <v>2</v>
      </c>
      <c r="G53" s="165">
        <v>2</v>
      </c>
      <c r="H53" s="214">
        <v>1</v>
      </c>
      <c r="I53" s="162">
        <f>H53*D53</f>
        <v>4.2000000000000003E-2</v>
      </c>
      <c r="J53" s="25"/>
      <c r="K53" s="25"/>
      <c r="L53" s="25"/>
      <c r="M53" s="25"/>
      <c r="N53" s="25"/>
      <c r="O53" s="25"/>
    </row>
    <row r="54" spans="1:15" s="2" customFormat="1" ht="26.25" customHeight="1">
      <c r="A54" s="25"/>
      <c r="B54" s="602" t="s">
        <v>538</v>
      </c>
      <c r="C54" s="602"/>
      <c r="D54" s="602"/>
      <c r="E54" s="602"/>
      <c r="F54" s="602"/>
      <c r="G54" s="602"/>
      <c r="H54" s="602"/>
      <c r="I54" s="25"/>
      <c r="J54" s="25"/>
      <c r="K54" s="25"/>
      <c r="L54" s="25"/>
      <c r="M54" s="25"/>
      <c r="N54" s="25"/>
      <c r="O54" s="25"/>
    </row>
    <row r="55" spans="1:15" ht="64.5">
      <c r="A55" s="25"/>
      <c r="B55" s="120" t="s">
        <v>309</v>
      </c>
      <c r="C55" s="119" t="s">
        <v>307</v>
      </c>
      <c r="D55" s="213">
        <v>4.2000000000000003E-2</v>
      </c>
      <c r="E55" s="212">
        <v>0</v>
      </c>
      <c r="F55" s="165">
        <v>0</v>
      </c>
      <c r="G55" s="165">
        <v>1</v>
      </c>
      <c r="H55" s="214">
        <v>0</v>
      </c>
      <c r="I55" s="220">
        <f>H55*D55</f>
        <v>0</v>
      </c>
      <c r="J55" s="25"/>
      <c r="K55" s="25"/>
      <c r="L55" s="25"/>
      <c r="M55" s="25"/>
      <c r="N55" s="25"/>
      <c r="O55" s="25"/>
    </row>
    <row r="56" spans="1:15" ht="65.25" customHeight="1">
      <c r="A56" s="25"/>
      <c r="B56" s="602" t="s">
        <v>585</v>
      </c>
      <c r="C56" s="602"/>
      <c r="D56" s="602"/>
      <c r="E56" s="602"/>
      <c r="F56" s="602"/>
      <c r="G56" s="602"/>
      <c r="H56" s="602"/>
      <c r="I56" s="25"/>
      <c r="J56" s="25"/>
      <c r="K56" s="25"/>
      <c r="L56" s="25"/>
      <c r="M56" s="25"/>
      <c r="N56" s="25"/>
      <c r="O56" s="25"/>
    </row>
    <row r="57" spans="1:15" ht="64.5">
      <c r="A57" s="25"/>
      <c r="B57" s="120" t="s">
        <v>310</v>
      </c>
      <c r="C57" s="119" t="s">
        <v>307</v>
      </c>
      <c r="D57" s="213">
        <v>4.2000000000000003E-2</v>
      </c>
      <c r="E57" s="193">
        <v>0</v>
      </c>
      <c r="F57" s="156">
        <v>0</v>
      </c>
      <c r="G57" s="156">
        <v>1</v>
      </c>
      <c r="H57" s="221">
        <v>0</v>
      </c>
      <c r="I57" s="162">
        <f>H57*D57</f>
        <v>0</v>
      </c>
      <c r="J57" s="25"/>
      <c r="K57" s="25"/>
      <c r="L57" s="25"/>
      <c r="M57" s="25"/>
      <c r="N57" s="25"/>
      <c r="O57" s="25"/>
    </row>
    <row r="58" spans="1:15" ht="24.75" customHeight="1">
      <c r="A58" s="25"/>
      <c r="B58" s="602" t="s">
        <v>539</v>
      </c>
      <c r="C58" s="602"/>
      <c r="D58" s="602"/>
      <c r="E58" s="602"/>
      <c r="F58" s="602"/>
      <c r="G58" s="602"/>
      <c r="H58" s="602"/>
      <c r="I58" s="25"/>
      <c r="J58" s="25"/>
      <c r="K58" s="25"/>
      <c r="L58" s="25"/>
      <c r="M58" s="25"/>
      <c r="N58" s="25"/>
      <c r="O58" s="25"/>
    </row>
    <row r="59" spans="1:15" ht="26.25">
      <c r="A59" s="25"/>
      <c r="B59" s="120" t="s">
        <v>311</v>
      </c>
      <c r="C59" s="119" t="s">
        <v>307</v>
      </c>
      <c r="D59" s="213">
        <v>4.2000000000000003E-2</v>
      </c>
      <c r="E59" s="193">
        <v>1</v>
      </c>
      <c r="F59" s="156">
        <v>0</v>
      </c>
      <c r="G59" s="156">
        <v>0</v>
      </c>
      <c r="H59" s="221">
        <v>0</v>
      </c>
      <c r="I59" s="162">
        <f>H59*D59</f>
        <v>0</v>
      </c>
      <c r="J59" s="25"/>
      <c r="K59" s="25"/>
      <c r="L59" s="25"/>
      <c r="M59" s="25"/>
      <c r="N59" s="25"/>
      <c r="O59" s="25"/>
    </row>
    <row r="60" spans="1:15">
      <c r="B60" s="109" t="s">
        <v>206</v>
      </c>
      <c r="D60">
        <f>SUM(D12:D17,D21:D23,D25:D27,D30,D33:D34,D39,D43,D47,D49,D51,D53,D55,D57,D59)</f>
        <v>1.0000000000000002</v>
      </c>
    </row>
  </sheetData>
  <mergeCells count="41">
    <mergeCell ref="B46:H46"/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B6:I6"/>
    <mergeCell ref="B7:O7"/>
    <mergeCell ref="B9:O9"/>
    <mergeCell ref="B10:I10"/>
    <mergeCell ref="E3:E5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B44:H44"/>
    <mergeCell ref="B29:H29"/>
    <mergeCell ref="B32:H32"/>
    <mergeCell ref="B18:O18"/>
    <mergeCell ref="B31:O31"/>
    <mergeCell ref="B28:O28"/>
    <mergeCell ref="B35:H35"/>
    <mergeCell ref="B36:H36"/>
    <mergeCell ref="B40:H40"/>
    <mergeCell ref="B19:I19"/>
    <mergeCell ref="B48:H48"/>
    <mergeCell ref="B50:H50"/>
    <mergeCell ref="B54:H54"/>
    <mergeCell ref="B56:H56"/>
    <mergeCell ref="B58:H58"/>
    <mergeCell ref="B52:H52"/>
  </mergeCells>
  <pageMargins left="0.7" right="0.7" top="0.75" bottom="0.75" header="0.3" footer="0.3"/>
  <pageSetup paperSize="9" scale="41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="90" zoomScaleNormal="100" zoomScaleSheetLayoutView="90" workbookViewId="0">
      <selection activeCell="L18" sqref="L18"/>
    </sheetView>
  </sheetViews>
  <sheetFormatPr defaultRowHeight="15"/>
  <cols>
    <col min="1" max="1" width="4.42578125" customWidth="1"/>
    <col min="2" max="2" width="45.7109375" customWidth="1"/>
    <col min="8" max="8" width="22" customWidth="1"/>
    <col min="9" max="9" width="9.85546875" customWidth="1"/>
    <col min="10" max="10" width="11.7109375" customWidth="1"/>
    <col min="11" max="11" width="12.7109375" customWidth="1"/>
    <col min="12" max="12" width="9.7109375" customWidth="1"/>
    <col min="13" max="13" width="14.140625" customWidth="1"/>
    <col min="14" max="14" width="10" customWidth="1"/>
    <col min="15" max="15" width="14" customWidth="1"/>
  </cols>
  <sheetData>
    <row r="1" spans="1:15" ht="18.75">
      <c r="A1" s="537" t="s">
        <v>573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</row>
    <row r="2" spans="1:15" ht="31.5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415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57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>
      <c r="A6" s="25"/>
      <c r="B6" s="584" t="s">
        <v>207</v>
      </c>
      <c r="C6" s="585"/>
      <c r="D6" s="585"/>
      <c r="E6" s="585"/>
      <c r="F6" s="585"/>
      <c r="G6" s="585"/>
      <c r="H6" s="585"/>
      <c r="I6" s="586"/>
      <c r="J6" s="205">
        <v>140717.05300000001</v>
      </c>
      <c r="K6" s="205">
        <v>137971.28599999999</v>
      </c>
      <c r="L6" s="204">
        <f>K6/J6*100</f>
        <v>98.048731876157163</v>
      </c>
      <c r="M6" s="106">
        <f>AVERAGE(H10:H14,H17:H21,H24)</f>
        <v>0.9</v>
      </c>
      <c r="N6" s="317">
        <f>H8</f>
        <v>1</v>
      </c>
      <c r="O6" s="317">
        <f>SUM(I11:I14,I17:I21,I24)</f>
        <v>0.93</v>
      </c>
    </row>
    <row r="7" spans="1:15">
      <c r="A7" s="25"/>
      <c r="B7" s="587" t="s">
        <v>208</v>
      </c>
      <c r="C7" s="587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</row>
    <row r="8" spans="1:15" ht="77.25" customHeight="1">
      <c r="A8" s="25">
        <v>1</v>
      </c>
      <c r="B8" s="110" t="s">
        <v>209</v>
      </c>
      <c r="C8" s="108" t="s">
        <v>0</v>
      </c>
      <c r="D8" s="158" t="s">
        <v>31</v>
      </c>
      <c r="E8" s="162">
        <v>90</v>
      </c>
      <c r="F8" s="174">
        <v>90</v>
      </c>
      <c r="G8" s="174">
        <v>90</v>
      </c>
      <c r="H8" s="163">
        <f>G8/F8</f>
        <v>1</v>
      </c>
      <c r="I8" s="158" t="s">
        <v>31</v>
      </c>
      <c r="J8" s="25"/>
      <c r="K8" s="25"/>
      <c r="L8" s="25"/>
      <c r="M8" s="25"/>
      <c r="N8" s="25"/>
      <c r="O8" s="25"/>
    </row>
    <row r="9" spans="1:15" ht="15" customHeight="1">
      <c r="A9" s="25"/>
      <c r="B9" s="583" t="s">
        <v>210</v>
      </c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</row>
    <row r="10" spans="1:15" ht="15" customHeight="1">
      <c r="A10" s="25"/>
      <c r="B10" s="608" t="s">
        <v>211</v>
      </c>
      <c r="C10" s="608"/>
      <c r="D10" s="608"/>
      <c r="E10" s="608"/>
      <c r="F10" s="608"/>
      <c r="G10" s="608"/>
      <c r="H10" s="608"/>
      <c r="I10" s="608"/>
      <c r="J10" s="189">
        <v>850</v>
      </c>
      <c r="K10" s="189">
        <v>848.38300000000004</v>
      </c>
      <c r="L10" s="201">
        <f>K10/J10*100</f>
        <v>99.809764705882358</v>
      </c>
      <c r="M10" s="61">
        <f>AVERAGE(H11:H14)</f>
        <v>1</v>
      </c>
      <c r="N10" s="200"/>
      <c r="O10" s="200"/>
    </row>
    <row r="11" spans="1:15" ht="25.5">
      <c r="A11" s="25" t="s">
        <v>59</v>
      </c>
      <c r="B11" s="111" t="s">
        <v>212</v>
      </c>
      <c r="C11" s="72" t="s">
        <v>0</v>
      </c>
      <c r="D11" s="164">
        <v>0.12</v>
      </c>
      <c r="E11" s="164">
        <v>100</v>
      </c>
      <c r="F11" s="165">
        <v>100</v>
      </c>
      <c r="G11" s="165">
        <v>100</v>
      </c>
      <c r="H11" s="163">
        <f>G11/F11</f>
        <v>1</v>
      </c>
      <c r="I11" s="162">
        <f>H11*D11</f>
        <v>0.12</v>
      </c>
      <c r="J11" s="25"/>
      <c r="K11" s="25"/>
      <c r="L11" s="25"/>
      <c r="M11" s="25"/>
      <c r="N11" s="25"/>
      <c r="O11" s="25"/>
    </row>
    <row r="12" spans="1:15" ht="89.25">
      <c r="A12" s="25" t="s">
        <v>60</v>
      </c>
      <c r="B12" s="111" t="s">
        <v>213</v>
      </c>
      <c r="C12" s="72" t="s">
        <v>0</v>
      </c>
      <c r="D12" s="164">
        <v>0.05</v>
      </c>
      <c r="E12" s="164">
        <v>100</v>
      </c>
      <c r="F12" s="165">
        <v>100</v>
      </c>
      <c r="G12" s="165">
        <v>100</v>
      </c>
      <c r="H12" s="163">
        <f t="shared" ref="H12:H14" si="0">G12/F12</f>
        <v>1</v>
      </c>
      <c r="I12" s="162">
        <f t="shared" ref="I12:I14" si="1">H12*D12</f>
        <v>0.05</v>
      </c>
      <c r="J12" s="25"/>
      <c r="K12" s="25"/>
      <c r="L12" s="25"/>
      <c r="M12" s="25"/>
      <c r="N12" s="25"/>
      <c r="O12" s="25"/>
    </row>
    <row r="13" spans="1:15" ht="63.75">
      <c r="A13" s="25" t="s">
        <v>62</v>
      </c>
      <c r="B13" s="111" t="s">
        <v>214</v>
      </c>
      <c r="C13" s="72" t="s">
        <v>0</v>
      </c>
      <c r="D13" s="164">
        <v>0.04</v>
      </c>
      <c r="E13" s="164">
        <v>16</v>
      </c>
      <c r="F13" s="165">
        <v>16</v>
      </c>
      <c r="G13" s="165">
        <v>16</v>
      </c>
      <c r="H13" s="163">
        <f t="shared" si="0"/>
        <v>1</v>
      </c>
      <c r="I13" s="162">
        <f t="shared" si="1"/>
        <v>0.04</v>
      </c>
      <c r="J13" s="25"/>
      <c r="K13" s="25"/>
      <c r="L13" s="25"/>
      <c r="M13" s="25"/>
      <c r="N13" s="25"/>
      <c r="O13" s="25"/>
    </row>
    <row r="14" spans="1:15" ht="89.25">
      <c r="A14" s="25" t="s">
        <v>64</v>
      </c>
      <c r="B14" s="111" t="s">
        <v>215</v>
      </c>
      <c r="C14" s="72" t="s">
        <v>0</v>
      </c>
      <c r="D14" s="164">
        <v>0.02</v>
      </c>
      <c r="E14" s="164">
        <v>24</v>
      </c>
      <c r="F14" s="165">
        <v>24</v>
      </c>
      <c r="G14" s="165">
        <v>24</v>
      </c>
      <c r="H14" s="163">
        <f t="shared" si="0"/>
        <v>1</v>
      </c>
      <c r="I14" s="162">
        <f t="shared" si="1"/>
        <v>0.02</v>
      </c>
      <c r="J14" s="25"/>
      <c r="K14" s="25"/>
      <c r="L14" s="25"/>
      <c r="M14" s="25"/>
      <c r="N14" s="25"/>
      <c r="O14" s="25"/>
    </row>
    <row r="15" spans="1:15" ht="15" customHeight="1">
      <c r="A15" s="25"/>
      <c r="B15" s="583" t="s">
        <v>216</v>
      </c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</row>
    <row r="16" spans="1:15" ht="15" customHeight="1">
      <c r="A16" s="25"/>
      <c r="B16" s="609" t="s">
        <v>217</v>
      </c>
      <c r="C16" s="609"/>
      <c r="D16" s="609"/>
      <c r="E16" s="609"/>
      <c r="F16" s="609"/>
      <c r="G16" s="609"/>
      <c r="H16" s="609"/>
      <c r="I16" s="609"/>
      <c r="J16" s="189">
        <v>138447.05300000001</v>
      </c>
      <c r="K16" s="189">
        <v>135901.288</v>
      </c>
      <c r="L16" s="201">
        <f>K16/J16*100</f>
        <v>98.161199574251668</v>
      </c>
      <c r="M16" s="61">
        <f>AVERAGE(H17:H21)</f>
        <v>0.8</v>
      </c>
      <c r="N16" s="127"/>
      <c r="O16" s="127"/>
    </row>
    <row r="17" spans="1:15" ht="51">
      <c r="A17" s="112" t="s">
        <v>96</v>
      </c>
      <c r="B17" s="7" t="s">
        <v>218</v>
      </c>
      <c r="C17" s="489" t="s">
        <v>622</v>
      </c>
      <c r="D17" s="164">
        <v>0.2</v>
      </c>
      <c r="E17" s="164">
        <v>150</v>
      </c>
      <c r="F17" s="165">
        <v>150</v>
      </c>
      <c r="G17" s="165">
        <v>150</v>
      </c>
      <c r="H17" s="163">
        <f>G17/F17</f>
        <v>1</v>
      </c>
      <c r="I17" s="163">
        <f>H17*D17</f>
        <v>0.2</v>
      </c>
      <c r="J17" s="25"/>
      <c r="K17" s="25"/>
      <c r="L17" s="25"/>
      <c r="M17" s="25"/>
      <c r="N17" s="25"/>
      <c r="O17" s="25"/>
    </row>
    <row r="18" spans="1:15" ht="51">
      <c r="A18" s="112" t="s">
        <v>21</v>
      </c>
      <c r="B18" s="7" t="s">
        <v>219</v>
      </c>
      <c r="C18" s="108" t="s">
        <v>0</v>
      </c>
      <c r="D18" s="164">
        <v>0.1</v>
      </c>
      <c r="E18" s="164">
        <v>100</v>
      </c>
      <c r="F18" s="165">
        <v>100</v>
      </c>
      <c r="G18" s="165">
        <v>100</v>
      </c>
      <c r="H18" s="163">
        <f t="shared" ref="H18:H20" si="2">G18/F18</f>
        <v>1</v>
      </c>
      <c r="I18" s="163">
        <f t="shared" ref="I18:I21" si="3">H18*D18</f>
        <v>0.1</v>
      </c>
      <c r="J18" s="25"/>
      <c r="K18" s="25"/>
      <c r="L18" s="25"/>
      <c r="M18" s="25"/>
      <c r="N18" s="25"/>
      <c r="O18" s="25"/>
    </row>
    <row r="19" spans="1:15" ht="25.5">
      <c r="A19" s="112" t="s">
        <v>99</v>
      </c>
      <c r="B19" s="7" t="s">
        <v>417</v>
      </c>
      <c r="C19" s="108" t="s">
        <v>196</v>
      </c>
      <c r="D19" s="164">
        <v>0.25</v>
      </c>
      <c r="E19" s="164">
        <v>40</v>
      </c>
      <c r="F19" s="165">
        <v>40</v>
      </c>
      <c r="G19" s="165">
        <v>40</v>
      </c>
      <c r="H19" s="163">
        <v>1</v>
      </c>
      <c r="I19" s="163">
        <f t="shared" si="3"/>
        <v>0.25</v>
      </c>
      <c r="J19" s="25"/>
      <c r="K19" s="25"/>
      <c r="L19" s="25"/>
      <c r="M19" s="25"/>
      <c r="N19" s="25"/>
      <c r="O19" s="25"/>
    </row>
    <row r="20" spans="1:15" ht="63.75">
      <c r="A20" s="112" t="s">
        <v>150</v>
      </c>
      <c r="B20" s="7" t="s">
        <v>220</v>
      </c>
      <c r="C20" s="108" t="s">
        <v>196</v>
      </c>
      <c r="D20" s="164">
        <v>0.1</v>
      </c>
      <c r="E20" s="164">
        <v>14</v>
      </c>
      <c r="F20" s="165">
        <v>13</v>
      </c>
      <c r="G20" s="165">
        <v>13</v>
      </c>
      <c r="H20" s="163">
        <f t="shared" si="2"/>
        <v>1</v>
      </c>
      <c r="I20" s="163">
        <f t="shared" si="3"/>
        <v>0.1</v>
      </c>
      <c r="J20" s="25"/>
      <c r="K20" s="25"/>
      <c r="L20" s="25"/>
      <c r="M20" s="25"/>
      <c r="N20" s="25"/>
      <c r="O20" s="25"/>
    </row>
    <row r="21" spans="1:15" s="2" customFormat="1" ht="63.75">
      <c r="A21" s="112" t="s">
        <v>496</v>
      </c>
      <c r="B21" s="7" t="s">
        <v>495</v>
      </c>
      <c r="C21" s="320" t="s">
        <v>196</v>
      </c>
      <c r="D21" s="164">
        <v>7.0000000000000007E-2</v>
      </c>
      <c r="E21" s="164">
        <v>1</v>
      </c>
      <c r="F21" s="165">
        <v>0</v>
      </c>
      <c r="G21" s="165">
        <v>0</v>
      </c>
      <c r="H21" s="163">
        <v>0</v>
      </c>
      <c r="I21" s="163">
        <f t="shared" si="3"/>
        <v>0</v>
      </c>
      <c r="J21" s="25"/>
      <c r="K21" s="25"/>
      <c r="L21" s="25"/>
      <c r="M21" s="25"/>
      <c r="N21" s="25"/>
      <c r="O21" s="25"/>
    </row>
    <row r="22" spans="1:15" ht="15" customHeight="1">
      <c r="A22" s="25"/>
      <c r="B22" s="611" t="s">
        <v>221</v>
      </c>
      <c r="C22" s="612"/>
      <c r="D22" s="612"/>
      <c r="E22" s="612"/>
      <c r="F22" s="612"/>
      <c r="G22" s="612"/>
      <c r="H22" s="612"/>
      <c r="I22" s="612"/>
      <c r="J22" s="612"/>
      <c r="K22" s="612"/>
      <c r="L22" s="612"/>
      <c r="M22" s="612"/>
      <c r="N22" s="612"/>
      <c r="O22" s="613"/>
    </row>
    <row r="23" spans="1:15" ht="15" customHeight="1">
      <c r="A23" s="25"/>
      <c r="B23" s="610" t="s">
        <v>222</v>
      </c>
      <c r="C23" s="610"/>
      <c r="D23" s="610"/>
      <c r="E23" s="610"/>
      <c r="F23" s="610"/>
      <c r="G23" s="610"/>
      <c r="H23" s="610"/>
      <c r="I23" s="610"/>
      <c r="J23" s="331">
        <v>1420</v>
      </c>
      <c r="K23" s="203">
        <v>1221.615</v>
      </c>
      <c r="L23" s="202">
        <f>K23/J23*100</f>
        <v>86.029225352112675</v>
      </c>
      <c r="M23" s="331">
        <f>AVERAGE(H24:H24)</f>
        <v>1</v>
      </c>
      <c r="N23" s="126"/>
      <c r="O23" s="126"/>
    </row>
    <row r="24" spans="1:15" ht="38.25">
      <c r="A24" s="25" t="s">
        <v>102</v>
      </c>
      <c r="B24" s="7" t="s">
        <v>223</v>
      </c>
      <c r="C24" s="169" t="s">
        <v>0</v>
      </c>
      <c r="D24" s="169">
        <v>0.05</v>
      </c>
      <c r="E24" s="164">
        <v>100</v>
      </c>
      <c r="F24" s="165">
        <v>100</v>
      </c>
      <c r="G24" s="165">
        <v>100</v>
      </c>
      <c r="H24" s="143">
        <f>G24/F24</f>
        <v>1</v>
      </c>
      <c r="I24" s="141">
        <f>H24*D24</f>
        <v>0.05</v>
      </c>
      <c r="J24" s="25"/>
      <c r="K24" s="25"/>
      <c r="L24" s="25"/>
      <c r="M24" s="25"/>
      <c r="N24" s="25"/>
      <c r="O24" s="25"/>
    </row>
    <row r="25" spans="1:15">
      <c r="B25" s="109" t="s">
        <v>206</v>
      </c>
      <c r="D25">
        <f>SUM(D11:D14,D17:D21,D24)</f>
        <v>1</v>
      </c>
    </row>
  </sheetData>
  <mergeCells count="28">
    <mergeCell ref="B9:O9"/>
    <mergeCell ref="B10:I10"/>
    <mergeCell ref="B15:O15"/>
    <mergeCell ref="B16:I16"/>
    <mergeCell ref="B23:I23"/>
    <mergeCell ref="B22:O22"/>
    <mergeCell ref="B6:I6"/>
    <mergeCell ref="B7:O7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M2:M5"/>
    <mergeCell ref="N2:N5"/>
    <mergeCell ref="O2:O5"/>
    <mergeCell ref="J2:L2"/>
    <mergeCell ref="A1:O1"/>
    <mergeCell ref="A2:A5"/>
    <mergeCell ref="B2:B5"/>
    <mergeCell ref="C2:C5"/>
    <mergeCell ref="D2:D5"/>
    <mergeCell ref="E2:I2"/>
    <mergeCell ref="E3:E5"/>
  </mergeCells>
  <pageMargins left="0.7" right="0.7" top="0.75" bottom="0.75" header="0.3" footer="0.3"/>
  <pageSetup paperSize="9" scale="4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"/>
  <sheetViews>
    <sheetView view="pageBreakPreview" zoomScaleNormal="100" zoomScaleSheetLayoutView="100" workbookViewId="0">
      <selection activeCell="G12" sqref="G12"/>
    </sheetView>
  </sheetViews>
  <sheetFormatPr defaultRowHeight="15"/>
  <cols>
    <col min="1" max="1" width="4.42578125" customWidth="1"/>
    <col min="2" max="2" width="51.42578125" customWidth="1"/>
    <col min="8" max="8" width="19.85546875" customWidth="1"/>
    <col min="9" max="9" width="10" customWidth="1"/>
    <col min="10" max="10" width="9.7109375" customWidth="1"/>
    <col min="11" max="11" width="8.7109375" customWidth="1"/>
    <col min="12" max="12" width="7" customWidth="1"/>
    <col min="13" max="13" width="12.7109375" customWidth="1"/>
    <col min="14" max="14" width="10.28515625" customWidth="1"/>
    <col min="15" max="15" width="14.42578125" customWidth="1"/>
  </cols>
  <sheetData>
    <row r="1" spans="1:15" ht="18.75">
      <c r="A1" s="537" t="s">
        <v>572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</row>
    <row r="2" spans="1:15" ht="30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416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63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 s="2" customFormat="1" ht="21.75" customHeight="1">
      <c r="A6" s="64"/>
      <c r="B6" s="614" t="s">
        <v>260</v>
      </c>
      <c r="C6" s="615"/>
      <c r="D6" s="615"/>
      <c r="E6" s="615"/>
      <c r="F6" s="615"/>
      <c r="G6" s="615"/>
      <c r="H6" s="615"/>
      <c r="I6" s="615"/>
      <c r="J6" s="199">
        <v>7296.71</v>
      </c>
      <c r="K6" s="199">
        <v>7296.71</v>
      </c>
      <c r="L6" s="105">
        <f>K6/J6*100</f>
        <v>100</v>
      </c>
      <c r="M6" s="106">
        <f>AVERAGE(H10:H14)</f>
        <v>0.46666666666666667</v>
      </c>
      <c r="N6" s="317">
        <f>H8</f>
        <v>0.69565217391304346</v>
      </c>
      <c r="O6" s="317">
        <f>SUM(I10:I14)</f>
        <v>0.60000000000000009</v>
      </c>
    </row>
    <row r="7" spans="1:15" ht="62.25" customHeight="1">
      <c r="B7" s="617" t="s">
        <v>381</v>
      </c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</row>
    <row r="8" spans="1:15" ht="25.5">
      <c r="A8" s="37">
        <v>1</v>
      </c>
      <c r="B8" s="149" t="s">
        <v>532</v>
      </c>
      <c r="C8" s="103" t="s">
        <v>149</v>
      </c>
      <c r="D8" s="158" t="s">
        <v>31</v>
      </c>
      <c r="E8" s="22">
        <v>33</v>
      </c>
      <c r="F8" s="86">
        <v>46</v>
      </c>
      <c r="G8" s="86">
        <v>32</v>
      </c>
      <c r="H8" s="144">
        <f>G8/F8</f>
        <v>0.69565217391304346</v>
      </c>
      <c r="I8" s="158" t="s">
        <v>133</v>
      </c>
      <c r="J8" s="25"/>
      <c r="K8" s="25"/>
      <c r="L8" s="25"/>
      <c r="M8" s="25"/>
      <c r="N8" s="25"/>
      <c r="O8" s="25"/>
    </row>
    <row r="9" spans="1:15" ht="15" customHeight="1">
      <c r="B9" s="616" t="s">
        <v>533</v>
      </c>
      <c r="C9" s="616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</row>
    <row r="10" spans="1:15" ht="63.75">
      <c r="A10" s="147" t="s">
        <v>16</v>
      </c>
      <c r="B10" s="148" t="s">
        <v>623</v>
      </c>
      <c r="C10" s="117" t="s">
        <v>149</v>
      </c>
      <c r="D10" s="141">
        <v>0.4</v>
      </c>
      <c r="E10" s="141">
        <v>3</v>
      </c>
      <c r="F10" s="142">
        <v>10</v>
      </c>
      <c r="G10" s="142">
        <v>10</v>
      </c>
      <c r="H10" s="144">
        <f>G10/F10</f>
        <v>1</v>
      </c>
      <c r="I10" s="141">
        <f>H10*D10</f>
        <v>0.4</v>
      </c>
      <c r="J10" s="25"/>
      <c r="K10" s="25"/>
      <c r="L10" s="25"/>
      <c r="M10" s="25"/>
      <c r="N10" s="25"/>
      <c r="O10" s="25"/>
    </row>
    <row r="11" spans="1:15" s="2" customFormat="1" ht="51.75" customHeight="1">
      <c r="A11" s="147" t="s">
        <v>382</v>
      </c>
      <c r="B11" s="148" t="s">
        <v>624</v>
      </c>
      <c r="C11" s="103" t="s">
        <v>149</v>
      </c>
      <c r="D11" s="141">
        <v>0.15</v>
      </c>
      <c r="E11" s="141">
        <v>1</v>
      </c>
      <c r="F11" s="142">
        <v>0</v>
      </c>
      <c r="G11" s="142">
        <v>0</v>
      </c>
      <c r="H11" s="144">
        <v>0</v>
      </c>
      <c r="I11" s="141">
        <f t="shared" ref="I11:I14" si="0">H11*D11</f>
        <v>0</v>
      </c>
      <c r="J11" s="25"/>
      <c r="K11" s="25"/>
      <c r="L11" s="25"/>
      <c r="M11" s="25"/>
      <c r="N11" s="25"/>
      <c r="O11" s="25"/>
    </row>
    <row r="12" spans="1:15" s="443" customFormat="1" ht="37.5" customHeight="1">
      <c r="A12" s="452" t="s">
        <v>534</v>
      </c>
      <c r="B12" s="453" t="s">
        <v>625</v>
      </c>
      <c r="C12" s="66" t="s">
        <v>149</v>
      </c>
      <c r="D12" s="454">
        <v>0.15</v>
      </c>
      <c r="E12" s="454">
        <v>1</v>
      </c>
      <c r="F12" s="142">
        <v>0</v>
      </c>
      <c r="G12" s="142">
        <v>0</v>
      </c>
      <c r="H12" s="144">
        <v>0</v>
      </c>
      <c r="I12" s="141">
        <v>0</v>
      </c>
      <c r="J12" s="455"/>
      <c r="K12" s="455"/>
      <c r="L12" s="455"/>
      <c r="M12" s="455"/>
      <c r="N12" s="455"/>
      <c r="O12" s="455"/>
    </row>
    <row r="13" spans="1:15" s="443" customFormat="1" ht="51" customHeight="1">
      <c r="A13" s="452" t="s">
        <v>546</v>
      </c>
      <c r="B13" s="453" t="s">
        <v>626</v>
      </c>
      <c r="C13" s="66" t="s">
        <v>149</v>
      </c>
      <c r="D13" s="454">
        <v>0.15</v>
      </c>
      <c r="E13" s="471">
        <v>18</v>
      </c>
      <c r="F13" s="142">
        <v>15</v>
      </c>
      <c r="G13" s="142">
        <v>15</v>
      </c>
      <c r="H13" s="144">
        <f t="shared" ref="H13" si="1">G13/F13</f>
        <v>1</v>
      </c>
      <c r="I13" s="141">
        <f t="shared" si="0"/>
        <v>0.15</v>
      </c>
      <c r="J13" s="455"/>
      <c r="K13" s="455"/>
      <c r="L13" s="455"/>
      <c r="M13" s="455"/>
      <c r="N13" s="455"/>
      <c r="O13" s="455"/>
    </row>
    <row r="14" spans="1:15" s="443" customFormat="1" ht="28.5" customHeight="1">
      <c r="A14" s="452" t="s">
        <v>586</v>
      </c>
      <c r="B14" s="453" t="s">
        <v>627</v>
      </c>
      <c r="C14" s="66" t="s">
        <v>149</v>
      </c>
      <c r="D14" s="454">
        <v>0.15</v>
      </c>
      <c r="E14" s="471">
        <v>9</v>
      </c>
      <c r="F14" s="142">
        <v>21</v>
      </c>
      <c r="G14" s="142">
        <v>7</v>
      </c>
      <c r="H14" s="144">
        <f>G14/F14</f>
        <v>0.33333333333333331</v>
      </c>
      <c r="I14" s="141">
        <f t="shared" si="0"/>
        <v>4.9999999999999996E-2</v>
      </c>
      <c r="J14" s="455"/>
      <c r="K14" s="455"/>
      <c r="L14" s="455"/>
      <c r="M14" s="455"/>
      <c r="N14" s="455"/>
      <c r="O14" s="455"/>
    </row>
    <row r="15" spans="1:15">
      <c r="B15" s="109" t="s">
        <v>206</v>
      </c>
      <c r="D15">
        <f>SUM(D10:D14)</f>
        <v>1</v>
      </c>
    </row>
    <row r="16" spans="1:15">
      <c r="M16" s="107"/>
    </row>
  </sheetData>
  <mergeCells count="23">
    <mergeCell ref="B6:I6"/>
    <mergeCell ref="B9:O9"/>
    <mergeCell ref="B7:O7"/>
    <mergeCell ref="E3:E5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</mergeCells>
  <pageMargins left="0.7" right="0.7" top="0.75" bottom="0.75" header="0.3" footer="0.3"/>
  <pageSetup paperSize="9" scale="4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view="pageBreakPreview" zoomScaleNormal="100" zoomScaleSheetLayoutView="100" workbookViewId="0">
      <pane ySplit="5" topLeftCell="A6" activePane="bottomLeft" state="frozen"/>
      <selection pane="bottomLeft" activeCell="K32" sqref="K32"/>
    </sheetView>
  </sheetViews>
  <sheetFormatPr defaultRowHeight="15"/>
  <cols>
    <col min="1" max="1" width="5.7109375" customWidth="1"/>
    <col min="2" max="2" width="45.7109375" customWidth="1"/>
    <col min="8" max="8" width="21.5703125" customWidth="1"/>
    <col min="9" max="9" width="10.28515625" bestFit="1" customWidth="1"/>
    <col min="10" max="10" width="11.7109375" customWidth="1"/>
    <col min="11" max="11" width="12.42578125" customWidth="1"/>
    <col min="12" max="12" width="8.85546875" customWidth="1"/>
    <col min="13" max="13" width="13.5703125" customWidth="1"/>
    <col min="14" max="14" width="12.42578125" customWidth="1"/>
    <col min="15" max="15" width="16.42578125" customWidth="1"/>
  </cols>
  <sheetData>
    <row r="1" spans="1:15" ht="18.75">
      <c r="A1" s="2"/>
      <c r="B1" s="592" t="s">
        <v>577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30.75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415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56.25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 ht="18.75" customHeight="1">
      <c r="A6" s="56"/>
      <c r="B6" s="572" t="s">
        <v>138</v>
      </c>
      <c r="C6" s="573"/>
      <c r="D6" s="573"/>
      <c r="E6" s="573"/>
      <c r="F6" s="573"/>
      <c r="G6" s="573"/>
      <c r="H6" s="573"/>
      <c r="I6" s="574"/>
      <c r="J6" s="150">
        <v>19791.150000000001</v>
      </c>
      <c r="K6" s="189">
        <v>17757.349999999999</v>
      </c>
      <c r="L6" s="58">
        <f>K6/J6*100</f>
        <v>89.723689628950297</v>
      </c>
      <c r="M6" s="60" t="s">
        <v>31</v>
      </c>
      <c r="N6" s="61">
        <f>AVERAGE(H8:H9,H21,H28)</f>
        <v>0.91666666666666663</v>
      </c>
      <c r="O6" s="61">
        <f>SUM(I13:I15,I17:I19,I25:I26,I31,I33)</f>
        <v>0.94695757575757578</v>
      </c>
    </row>
    <row r="7" spans="1:15" ht="32.25" customHeight="1">
      <c r="A7" s="51"/>
      <c r="B7" s="622" t="s">
        <v>628</v>
      </c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4"/>
    </row>
    <row r="8" spans="1:15" ht="48.75" customHeight="1">
      <c r="A8" s="52">
        <v>1</v>
      </c>
      <c r="B8" s="53" t="s">
        <v>110</v>
      </c>
      <c r="C8" s="52" t="s">
        <v>0</v>
      </c>
      <c r="D8" s="158" t="s">
        <v>31</v>
      </c>
      <c r="E8" s="170">
        <v>100.7</v>
      </c>
      <c r="F8" s="171">
        <v>116.6</v>
      </c>
      <c r="G8" s="171">
        <v>116.6</v>
      </c>
      <c r="H8" s="173">
        <f>G8/F8</f>
        <v>1</v>
      </c>
      <c r="I8" s="158" t="s">
        <v>133</v>
      </c>
      <c r="J8" s="37" t="s">
        <v>133</v>
      </c>
      <c r="K8" s="37" t="s">
        <v>133</v>
      </c>
      <c r="L8" s="37" t="s">
        <v>133</v>
      </c>
      <c r="M8" s="37" t="s">
        <v>133</v>
      </c>
      <c r="N8" s="37" t="s">
        <v>133</v>
      </c>
      <c r="O8" s="37" t="s">
        <v>133</v>
      </c>
    </row>
    <row r="9" spans="1:15" ht="63.75">
      <c r="A9" s="52">
        <v>2</v>
      </c>
      <c r="B9" s="53" t="s">
        <v>111</v>
      </c>
      <c r="C9" s="52" t="s">
        <v>9</v>
      </c>
      <c r="D9" s="158" t="s">
        <v>31</v>
      </c>
      <c r="E9" s="170">
        <v>430</v>
      </c>
      <c r="F9" s="171">
        <v>430</v>
      </c>
      <c r="G9" s="171">
        <v>430</v>
      </c>
      <c r="H9" s="173">
        <v>1</v>
      </c>
      <c r="I9" s="158" t="s">
        <v>133</v>
      </c>
      <c r="J9" s="37" t="s">
        <v>133</v>
      </c>
      <c r="K9" s="37" t="s">
        <v>133</v>
      </c>
      <c r="L9" s="37" t="s">
        <v>133</v>
      </c>
      <c r="M9" s="37" t="s">
        <v>133</v>
      </c>
      <c r="N9" s="37" t="s">
        <v>133</v>
      </c>
      <c r="O9" s="37" t="s">
        <v>133</v>
      </c>
    </row>
    <row r="10" spans="1:15" ht="15" customHeight="1">
      <c r="B10" s="622" t="s">
        <v>112</v>
      </c>
      <c r="C10" s="623"/>
      <c r="D10" s="623"/>
      <c r="E10" s="623"/>
      <c r="F10" s="623"/>
      <c r="G10" s="623"/>
      <c r="H10" s="623"/>
      <c r="I10" s="623"/>
      <c r="J10" s="623"/>
      <c r="K10" s="623"/>
      <c r="L10" s="623"/>
      <c r="M10" s="623"/>
      <c r="N10" s="623"/>
      <c r="O10" s="624"/>
    </row>
    <row r="11" spans="1:15" ht="15" customHeight="1">
      <c r="B11" s="625" t="s">
        <v>113</v>
      </c>
      <c r="C11" s="626"/>
      <c r="D11" s="626"/>
      <c r="E11" s="626"/>
      <c r="F11" s="626"/>
      <c r="G11" s="626"/>
      <c r="H11" s="626"/>
      <c r="I11" s="627"/>
      <c r="J11" s="207">
        <v>6500</v>
      </c>
      <c r="K11" s="207">
        <v>6500</v>
      </c>
      <c r="L11" s="206">
        <f>K11/J11*100</f>
        <v>100</v>
      </c>
      <c r="M11" s="61">
        <f>AVERAGE(H13:H15,H17:H19)</f>
        <v>1</v>
      </c>
      <c r="N11" s="57"/>
      <c r="O11" s="57"/>
    </row>
    <row r="12" spans="1:15">
      <c r="A12" s="52" t="s">
        <v>59</v>
      </c>
      <c r="B12" s="53" t="s">
        <v>114</v>
      </c>
      <c r="C12" s="52" t="s">
        <v>115</v>
      </c>
      <c r="D12" s="158"/>
      <c r="E12" s="164"/>
      <c r="F12" s="165">
        <v>496</v>
      </c>
      <c r="G12" s="165">
        <v>265</v>
      </c>
      <c r="H12" s="173"/>
      <c r="I12" s="143"/>
      <c r="J12" s="158" t="s">
        <v>133</v>
      </c>
      <c r="K12" s="37" t="s">
        <v>133</v>
      </c>
      <c r="L12" s="37" t="s">
        <v>133</v>
      </c>
      <c r="M12" s="37" t="s">
        <v>133</v>
      </c>
      <c r="N12" s="25"/>
      <c r="O12" s="25"/>
    </row>
    <row r="13" spans="1:15">
      <c r="A13" s="198" t="s">
        <v>323</v>
      </c>
      <c r="B13" s="53" t="s">
        <v>116</v>
      </c>
      <c r="C13" s="52" t="s">
        <v>115</v>
      </c>
      <c r="D13" s="158">
        <v>0.1</v>
      </c>
      <c r="E13" s="170">
        <v>177</v>
      </c>
      <c r="F13" s="171">
        <v>165</v>
      </c>
      <c r="G13" s="174">
        <v>165</v>
      </c>
      <c r="H13" s="173">
        <f t="shared" ref="H13:H15" si="0">G13/F13</f>
        <v>1</v>
      </c>
      <c r="I13" s="143">
        <f t="shared" ref="I13:I19" si="1">H13*D13</f>
        <v>0.1</v>
      </c>
      <c r="J13" s="158" t="s">
        <v>133</v>
      </c>
      <c r="K13" s="37" t="s">
        <v>133</v>
      </c>
      <c r="L13" s="37" t="s">
        <v>133</v>
      </c>
      <c r="M13" s="37" t="s">
        <v>133</v>
      </c>
      <c r="N13" s="25"/>
      <c r="O13" s="25"/>
    </row>
    <row r="14" spans="1:15">
      <c r="A14" s="198" t="s">
        <v>324</v>
      </c>
      <c r="B14" s="53" t="s">
        <v>117</v>
      </c>
      <c r="C14" s="52" t="s">
        <v>115</v>
      </c>
      <c r="D14" s="158">
        <v>0.1</v>
      </c>
      <c r="E14" s="170">
        <v>53</v>
      </c>
      <c r="F14" s="171">
        <v>110</v>
      </c>
      <c r="G14" s="174">
        <v>110</v>
      </c>
      <c r="H14" s="173">
        <f t="shared" si="0"/>
        <v>1</v>
      </c>
      <c r="I14" s="143">
        <f t="shared" si="1"/>
        <v>0.1</v>
      </c>
      <c r="J14" s="158" t="s">
        <v>133</v>
      </c>
      <c r="K14" s="37" t="s">
        <v>133</v>
      </c>
      <c r="L14" s="37" t="s">
        <v>133</v>
      </c>
      <c r="M14" s="37" t="s">
        <v>133</v>
      </c>
      <c r="N14" s="25"/>
      <c r="O14" s="25"/>
    </row>
    <row r="15" spans="1:15" ht="13.5" customHeight="1">
      <c r="A15" s="198" t="s">
        <v>325</v>
      </c>
      <c r="B15" s="53" t="s">
        <v>118</v>
      </c>
      <c r="C15" s="52" t="s">
        <v>115</v>
      </c>
      <c r="D15" s="158">
        <v>0.1</v>
      </c>
      <c r="E15" s="170">
        <v>35</v>
      </c>
      <c r="F15" s="171">
        <v>48</v>
      </c>
      <c r="G15" s="174">
        <v>48</v>
      </c>
      <c r="H15" s="173">
        <f t="shared" si="0"/>
        <v>1</v>
      </c>
      <c r="I15" s="143">
        <f>H15*D15</f>
        <v>0.1</v>
      </c>
      <c r="J15" s="158" t="s">
        <v>133</v>
      </c>
      <c r="K15" s="37" t="s">
        <v>133</v>
      </c>
      <c r="L15" s="37" t="s">
        <v>133</v>
      </c>
      <c r="M15" s="37" t="s">
        <v>133</v>
      </c>
      <c r="N15" s="25"/>
      <c r="O15" s="25"/>
    </row>
    <row r="16" spans="1:15" s="2" customFormat="1" ht="13.5" customHeight="1">
      <c r="A16" s="198" t="s">
        <v>60</v>
      </c>
      <c r="B16" s="53" t="s">
        <v>506</v>
      </c>
      <c r="C16" s="346"/>
      <c r="D16" s="158"/>
      <c r="E16" s="170"/>
      <c r="F16" s="171"/>
      <c r="G16" s="174"/>
      <c r="H16" s="173"/>
      <c r="I16" s="143"/>
      <c r="J16" s="158"/>
      <c r="K16" s="37"/>
      <c r="L16" s="37"/>
      <c r="M16" s="37"/>
      <c r="N16" s="25"/>
      <c r="O16" s="25"/>
    </row>
    <row r="17" spans="1:15" s="2" customFormat="1" ht="13.5" customHeight="1">
      <c r="A17" s="198" t="s">
        <v>507</v>
      </c>
      <c r="B17" s="53" t="s">
        <v>508</v>
      </c>
      <c r="C17" s="346" t="s">
        <v>127</v>
      </c>
      <c r="D17" s="158">
        <v>0.1</v>
      </c>
      <c r="E17" s="170">
        <v>145</v>
      </c>
      <c r="F17" s="171">
        <v>95</v>
      </c>
      <c r="G17" s="174">
        <v>95</v>
      </c>
      <c r="H17" s="173">
        <f>G17/F17</f>
        <v>1</v>
      </c>
      <c r="I17" s="143">
        <f t="shared" si="1"/>
        <v>0.1</v>
      </c>
      <c r="J17" s="158"/>
      <c r="K17" s="37"/>
      <c r="L17" s="37"/>
      <c r="M17" s="37"/>
      <c r="N17" s="25"/>
      <c r="O17" s="25"/>
    </row>
    <row r="18" spans="1:15" s="2" customFormat="1" ht="13.5" customHeight="1">
      <c r="A18" s="198" t="s">
        <v>509</v>
      </c>
      <c r="B18" s="53" t="s">
        <v>510</v>
      </c>
      <c r="C18" s="346" t="s">
        <v>127</v>
      </c>
      <c r="D18" s="158">
        <v>0.1</v>
      </c>
      <c r="E18" s="170">
        <v>372</v>
      </c>
      <c r="F18" s="171">
        <v>360</v>
      </c>
      <c r="G18" s="174">
        <v>360</v>
      </c>
      <c r="H18" s="173">
        <f t="shared" ref="H18:H19" si="2">G18/F18</f>
        <v>1</v>
      </c>
      <c r="I18" s="143">
        <f t="shared" si="1"/>
        <v>0.1</v>
      </c>
      <c r="J18" s="158"/>
      <c r="K18" s="37"/>
      <c r="L18" s="37"/>
      <c r="M18" s="37"/>
      <c r="N18" s="25"/>
      <c r="O18" s="25"/>
    </row>
    <row r="19" spans="1:15" s="2" customFormat="1" ht="13.5" customHeight="1">
      <c r="A19" s="198" t="s">
        <v>511</v>
      </c>
      <c r="B19" s="53" t="s">
        <v>512</v>
      </c>
      <c r="C19" s="346" t="s">
        <v>513</v>
      </c>
      <c r="D19" s="158">
        <v>0.1</v>
      </c>
      <c r="E19" s="170">
        <v>415</v>
      </c>
      <c r="F19" s="171">
        <v>380</v>
      </c>
      <c r="G19" s="174">
        <v>380</v>
      </c>
      <c r="H19" s="173">
        <f t="shared" si="2"/>
        <v>1</v>
      </c>
      <c r="I19" s="143">
        <f t="shared" si="1"/>
        <v>0.1</v>
      </c>
      <c r="J19" s="158"/>
      <c r="K19" s="37"/>
      <c r="L19" s="37"/>
      <c r="M19" s="37"/>
      <c r="N19" s="25"/>
      <c r="O19" s="25"/>
    </row>
    <row r="20" spans="1:15" ht="15" customHeight="1">
      <c r="B20" s="628" t="s">
        <v>629</v>
      </c>
      <c r="C20" s="629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30"/>
    </row>
    <row r="21" spans="1:15" ht="51">
      <c r="A21" s="52">
        <v>1</v>
      </c>
      <c r="B21" s="53" t="s">
        <v>630</v>
      </c>
      <c r="C21" s="52" t="s">
        <v>119</v>
      </c>
      <c r="D21" s="172" t="s">
        <v>31</v>
      </c>
      <c r="E21" s="141">
        <v>9</v>
      </c>
      <c r="F21" s="142">
        <v>12</v>
      </c>
      <c r="G21" s="142">
        <v>8</v>
      </c>
      <c r="H21" s="321">
        <f>G21/F21</f>
        <v>0.66666666666666663</v>
      </c>
      <c r="I21" s="158" t="s">
        <v>133</v>
      </c>
      <c r="J21" s="37" t="s">
        <v>133</v>
      </c>
      <c r="K21" s="37" t="s">
        <v>133</v>
      </c>
      <c r="L21" s="37" t="s">
        <v>133</v>
      </c>
      <c r="M21" s="37" t="s">
        <v>133</v>
      </c>
      <c r="N21" s="25"/>
      <c r="O21" s="25"/>
    </row>
    <row r="22" spans="1:15" ht="29.25" customHeight="1">
      <c r="B22" s="622" t="s">
        <v>120</v>
      </c>
      <c r="C22" s="623"/>
      <c r="D22" s="623"/>
      <c r="E22" s="623"/>
      <c r="F22" s="623"/>
      <c r="G22" s="623"/>
      <c r="H22" s="623"/>
      <c r="I22" s="623"/>
      <c r="J22" s="623"/>
      <c r="K22" s="623"/>
      <c r="L22" s="623"/>
      <c r="M22" s="623"/>
      <c r="N22" s="623"/>
      <c r="O22" s="624"/>
    </row>
    <row r="23" spans="1:15" ht="28.5" customHeight="1">
      <c r="B23" s="619" t="s">
        <v>121</v>
      </c>
      <c r="C23" s="620"/>
      <c r="D23" s="620"/>
      <c r="E23" s="620"/>
      <c r="F23" s="620"/>
      <c r="G23" s="620"/>
      <c r="H23" s="620"/>
      <c r="I23" s="621"/>
      <c r="J23" s="189">
        <v>7500</v>
      </c>
      <c r="K23" s="189">
        <v>7500</v>
      </c>
      <c r="L23" s="201">
        <f>K23/J23*100</f>
        <v>100</v>
      </c>
      <c r="M23" s="61">
        <f>AVERAGE(H25:H26)</f>
        <v>0.76945454545454539</v>
      </c>
      <c r="N23" s="57"/>
      <c r="O23" s="57"/>
    </row>
    <row r="24" spans="1:15" ht="25.5">
      <c r="A24" s="52" t="s">
        <v>96</v>
      </c>
      <c r="B24" s="53" t="s">
        <v>631</v>
      </c>
      <c r="C24" s="52"/>
      <c r="D24" s="158"/>
      <c r="E24" s="158"/>
      <c r="F24" s="159"/>
      <c r="G24" s="159"/>
      <c r="H24" s="168" t="s">
        <v>133</v>
      </c>
      <c r="I24" s="168" t="s">
        <v>133</v>
      </c>
      <c r="J24" s="55" t="s">
        <v>133</v>
      </c>
      <c r="K24" s="55" t="s">
        <v>133</v>
      </c>
      <c r="L24" s="55" t="s">
        <v>133</v>
      </c>
      <c r="M24" s="55" t="s">
        <v>133</v>
      </c>
      <c r="N24" s="55"/>
      <c r="O24" s="55"/>
    </row>
    <row r="25" spans="1:15" ht="17.25" customHeight="1">
      <c r="A25" s="52" t="s">
        <v>122</v>
      </c>
      <c r="B25" s="53" t="s">
        <v>123</v>
      </c>
      <c r="C25" s="52" t="s">
        <v>124</v>
      </c>
      <c r="D25" s="169">
        <v>0.1</v>
      </c>
      <c r="E25" s="170">
        <v>99.4</v>
      </c>
      <c r="F25" s="171">
        <v>110</v>
      </c>
      <c r="G25" s="171">
        <v>59.28</v>
      </c>
      <c r="H25" s="166">
        <f>G25/F25</f>
        <v>0.53890909090909089</v>
      </c>
      <c r="I25" s="144">
        <f>H25*D25</f>
        <v>5.3890909090909093E-2</v>
      </c>
      <c r="J25" s="55" t="s">
        <v>133</v>
      </c>
      <c r="K25" s="55" t="s">
        <v>133</v>
      </c>
      <c r="L25" s="55" t="s">
        <v>133</v>
      </c>
      <c r="M25" s="55" t="s">
        <v>133</v>
      </c>
      <c r="N25" s="25"/>
      <c r="O25" s="25"/>
    </row>
    <row r="26" spans="1:15" ht="15" customHeight="1">
      <c r="A26" s="52" t="s">
        <v>125</v>
      </c>
      <c r="B26" s="53" t="s">
        <v>126</v>
      </c>
      <c r="C26" s="52" t="s">
        <v>127</v>
      </c>
      <c r="D26" s="169">
        <v>0.1</v>
      </c>
      <c r="E26" s="170">
        <v>18.100000000000001</v>
      </c>
      <c r="F26" s="171">
        <v>10</v>
      </c>
      <c r="G26" s="171">
        <v>26.1</v>
      </c>
      <c r="H26" s="166">
        <v>1</v>
      </c>
      <c r="I26" s="141">
        <f t="shared" ref="I26" si="3">H26*D26</f>
        <v>0.1</v>
      </c>
      <c r="J26" s="55" t="s">
        <v>133</v>
      </c>
      <c r="K26" s="55" t="s">
        <v>133</v>
      </c>
      <c r="L26" s="55" t="s">
        <v>133</v>
      </c>
      <c r="M26" s="55" t="s">
        <v>133</v>
      </c>
      <c r="N26" s="25"/>
      <c r="O26" s="25"/>
    </row>
    <row r="27" spans="1:15" ht="21.75" customHeight="1">
      <c r="A27">
        <v>1</v>
      </c>
      <c r="B27" s="622" t="s">
        <v>632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4"/>
    </row>
    <row r="28" spans="1:15" ht="38.25">
      <c r="A28" s="52" t="s">
        <v>102</v>
      </c>
      <c r="B28" s="53" t="s">
        <v>128</v>
      </c>
      <c r="C28" s="52" t="s">
        <v>129</v>
      </c>
      <c r="D28" s="167" t="s">
        <v>31</v>
      </c>
      <c r="E28" s="164">
        <v>73</v>
      </c>
      <c r="F28" s="165">
        <v>74</v>
      </c>
      <c r="G28" s="165">
        <v>74</v>
      </c>
      <c r="H28" s="166">
        <f>G28/F28</f>
        <v>1</v>
      </c>
      <c r="I28" s="158" t="s">
        <v>133</v>
      </c>
      <c r="J28" s="37" t="s">
        <v>133</v>
      </c>
      <c r="K28" s="37" t="s">
        <v>133</v>
      </c>
      <c r="L28" s="37" t="s">
        <v>133</v>
      </c>
      <c r="M28" s="37" t="s">
        <v>133</v>
      </c>
      <c r="N28" s="25"/>
      <c r="O28" s="25"/>
    </row>
    <row r="29" spans="1:15" ht="15" customHeight="1">
      <c r="B29" s="631" t="s">
        <v>130</v>
      </c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3"/>
    </row>
    <row r="30" spans="1:15" ht="15" customHeight="1">
      <c r="B30" s="625" t="s">
        <v>131</v>
      </c>
      <c r="C30" s="626"/>
      <c r="D30" s="626"/>
      <c r="E30" s="626"/>
      <c r="F30" s="626"/>
      <c r="G30" s="626"/>
      <c r="H30" s="626"/>
      <c r="I30" s="627"/>
      <c r="J30" s="189">
        <v>2167.5700000000002</v>
      </c>
      <c r="K30" s="189">
        <v>1985.16</v>
      </c>
      <c r="L30" s="505">
        <f>K30/J30*100</f>
        <v>91.584585503582346</v>
      </c>
      <c r="M30" s="61">
        <f>H31</f>
        <v>0.96399999999999997</v>
      </c>
      <c r="N30" s="57"/>
      <c r="O30" s="57"/>
    </row>
    <row r="31" spans="1:15" ht="25.5">
      <c r="A31" s="52" t="s">
        <v>102</v>
      </c>
      <c r="B31" s="53" t="s">
        <v>50</v>
      </c>
      <c r="C31" s="52" t="s">
        <v>0</v>
      </c>
      <c r="D31" s="141">
        <v>0.1</v>
      </c>
      <c r="E31" s="164">
        <v>87.89</v>
      </c>
      <c r="F31" s="165">
        <v>95</v>
      </c>
      <c r="G31" s="165">
        <v>91.58</v>
      </c>
      <c r="H31" s="166">
        <f>G31/F31</f>
        <v>0.96399999999999997</v>
      </c>
      <c r="I31" s="504">
        <f>H31*D31</f>
        <v>9.64E-2</v>
      </c>
      <c r="J31" s="37" t="s">
        <v>133</v>
      </c>
      <c r="K31" s="37" t="s">
        <v>133</v>
      </c>
      <c r="L31" s="37" t="s">
        <v>133</v>
      </c>
      <c r="M31" s="37" t="s">
        <v>133</v>
      </c>
      <c r="N31" s="25"/>
      <c r="O31" s="25"/>
    </row>
    <row r="32" spans="1:15" s="2" customFormat="1" ht="21" customHeight="1">
      <c r="A32" s="52"/>
      <c r="B32" s="619" t="s">
        <v>135</v>
      </c>
      <c r="C32" s="620"/>
      <c r="D32" s="620"/>
      <c r="E32" s="620"/>
      <c r="F32" s="620"/>
      <c r="G32" s="620"/>
      <c r="H32" s="620"/>
      <c r="I32" s="621"/>
      <c r="J32" s="189">
        <v>3623.58</v>
      </c>
      <c r="K32" s="189">
        <v>1772.19</v>
      </c>
      <c r="L32" s="201">
        <f>K32/J32*100</f>
        <v>48.907158114350999</v>
      </c>
      <c r="M32" s="442">
        <f>H33</f>
        <v>0.96666666666666667</v>
      </c>
      <c r="N32" s="25"/>
      <c r="O32" s="25"/>
    </row>
    <row r="33" spans="1:15" ht="21" customHeight="1">
      <c r="A33" s="52">
        <v>4</v>
      </c>
      <c r="B33" s="53" t="s">
        <v>134</v>
      </c>
      <c r="C33" s="52" t="s">
        <v>132</v>
      </c>
      <c r="D33" s="141">
        <v>0.1</v>
      </c>
      <c r="E33" s="164">
        <v>0</v>
      </c>
      <c r="F33" s="165">
        <v>150</v>
      </c>
      <c r="G33" s="165">
        <v>145</v>
      </c>
      <c r="H33" s="166">
        <f>G33/F33</f>
        <v>0.96666666666666667</v>
      </c>
      <c r="I33" s="504">
        <f>H33*D33</f>
        <v>9.6666666666666679E-2</v>
      </c>
      <c r="J33" s="37" t="s">
        <v>133</v>
      </c>
      <c r="K33" s="37" t="s">
        <v>133</v>
      </c>
      <c r="L33" s="37" t="s">
        <v>133</v>
      </c>
      <c r="M33" s="37" t="s">
        <v>133</v>
      </c>
      <c r="N33" s="25"/>
      <c r="O33" s="25"/>
    </row>
    <row r="34" spans="1:15">
      <c r="B34" s="109" t="s">
        <v>206</v>
      </c>
      <c r="D34">
        <f>SUM(D13:D15,D17:D19,D25:D26,D31,D33)</f>
        <v>0.99999999999999989</v>
      </c>
    </row>
  </sheetData>
  <mergeCells count="31">
    <mergeCell ref="B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B32:I32"/>
    <mergeCell ref="B7:O7"/>
    <mergeCell ref="B10:O10"/>
    <mergeCell ref="B11:I11"/>
    <mergeCell ref="B20:O20"/>
    <mergeCell ref="B22:O22"/>
    <mergeCell ref="B23:I23"/>
    <mergeCell ref="B27:O27"/>
    <mergeCell ref="B29:O29"/>
    <mergeCell ref="B30:I30"/>
    <mergeCell ref="B6:I6"/>
  </mergeCells>
  <pageMargins left="0.7" right="0.7" top="0.75" bottom="0.75" header="0.3" footer="0.3"/>
  <pageSetup paperSize="9" scale="4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view="pageBreakPreview" zoomScale="90" zoomScaleNormal="100" zoomScaleSheetLayoutView="90" workbookViewId="0">
      <pane ySplit="5" topLeftCell="A6" activePane="bottomLeft" state="frozen"/>
      <selection pane="bottomLeft" activeCell="K19" sqref="K19"/>
    </sheetView>
  </sheetViews>
  <sheetFormatPr defaultRowHeight="15"/>
  <cols>
    <col min="1" max="1" width="4.42578125" customWidth="1"/>
    <col min="2" max="2" width="45.7109375" customWidth="1"/>
    <col min="4" max="4" width="9.140625" style="2"/>
    <col min="6" max="7" width="9.140625" style="42"/>
    <col min="8" max="8" width="21.5703125" customWidth="1"/>
    <col min="9" max="9" width="10.28515625" bestFit="1" customWidth="1"/>
    <col min="10" max="10" width="14.28515625" style="2" customWidth="1"/>
    <col min="11" max="11" width="12.140625" style="2" customWidth="1"/>
    <col min="12" max="12" width="8.140625" style="2" customWidth="1"/>
    <col min="13" max="13" width="15" style="2" customWidth="1"/>
    <col min="14" max="14" width="12.28515625" customWidth="1"/>
    <col min="15" max="15" width="15.42578125" customWidth="1"/>
  </cols>
  <sheetData>
    <row r="1" spans="1:15" ht="36.75" customHeight="1">
      <c r="B1" s="634" t="s">
        <v>576</v>
      </c>
      <c r="C1" s="634"/>
      <c r="D1" s="634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</row>
    <row r="2" spans="1:15" s="2" customFormat="1" ht="27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415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48.7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27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 ht="29.25" customHeight="1">
      <c r="A6" s="25"/>
      <c r="B6" s="619" t="s">
        <v>52</v>
      </c>
      <c r="C6" s="620"/>
      <c r="D6" s="620"/>
      <c r="E6" s="620"/>
      <c r="F6" s="620"/>
      <c r="G6" s="620"/>
      <c r="H6" s="620"/>
      <c r="I6" s="621"/>
      <c r="J6" s="150">
        <v>201739.54</v>
      </c>
      <c r="K6" s="189">
        <v>198112.27</v>
      </c>
      <c r="L6" s="190">
        <f>K6/J6*100</f>
        <v>98.202003434725768</v>
      </c>
      <c r="M6" s="62" t="s">
        <v>31</v>
      </c>
      <c r="N6" s="425">
        <f>AVERAGE(H8:H10,H16)</f>
        <v>1</v>
      </c>
      <c r="O6" s="425">
        <f>SUM(I13,I14,I19)</f>
        <v>1</v>
      </c>
    </row>
    <row r="7" spans="1:15" ht="18.75" customHeight="1">
      <c r="A7" s="25"/>
      <c r="B7" s="563" t="s">
        <v>33</v>
      </c>
      <c r="C7" s="637"/>
      <c r="D7" s="637"/>
      <c r="E7" s="637"/>
      <c r="F7" s="637"/>
      <c r="G7" s="637"/>
      <c r="H7" s="637"/>
      <c r="I7" s="637"/>
      <c r="J7" s="637"/>
      <c r="K7" s="637"/>
      <c r="L7" s="637"/>
      <c r="M7" s="637"/>
      <c r="N7" s="637"/>
      <c r="O7" s="637"/>
    </row>
    <row r="8" spans="1:15" ht="75" customHeight="1">
      <c r="A8" s="37">
        <v>1</v>
      </c>
      <c r="B8" s="18" t="s">
        <v>34</v>
      </c>
      <c r="C8" s="19" t="s">
        <v>35</v>
      </c>
      <c r="D8" s="162" t="s">
        <v>31</v>
      </c>
      <c r="E8" s="155">
        <v>50</v>
      </c>
      <c r="F8" s="156">
        <v>30</v>
      </c>
      <c r="G8" s="156">
        <v>22</v>
      </c>
      <c r="H8" s="163">
        <v>1</v>
      </c>
      <c r="I8" s="37" t="s">
        <v>133</v>
      </c>
      <c r="J8" s="37" t="s">
        <v>133</v>
      </c>
      <c r="K8" s="37" t="s">
        <v>133</v>
      </c>
      <c r="L8" s="37" t="s">
        <v>133</v>
      </c>
      <c r="M8" s="37" t="s">
        <v>133</v>
      </c>
      <c r="N8" s="37" t="s">
        <v>133</v>
      </c>
      <c r="O8" s="37" t="s">
        <v>133</v>
      </c>
    </row>
    <row r="9" spans="1:15" ht="57.75" customHeight="1">
      <c r="A9" s="37">
        <v>2</v>
      </c>
      <c r="B9" s="18" t="s">
        <v>36</v>
      </c>
      <c r="C9" s="19" t="s">
        <v>37</v>
      </c>
      <c r="D9" s="162" t="s">
        <v>31</v>
      </c>
      <c r="E9" s="155">
        <v>3</v>
      </c>
      <c r="F9" s="156">
        <v>3</v>
      </c>
      <c r="G9" s="156">
        <v>3</v>
      </c>
      <c r="H9" s="163">
        <v>1</v>
      </c>
      <c r="I9" s="37" t="s">
        <v>133</v>
      </c>
      <c r="J9" s="37" t="s">
        <v>133</v>
      </c>
      <c r="K9" s="37" t="s">
        <v>133</v>
      </c>
      <c r="L9" s="37" t="s">
        <v>133</v>
      </c>
      <c r="M9" s="37" t="s">
        <v>133</v>
      </c>
      <c r="N9" s="37" t="s">
        <v>133</v>
      </c>
      <c r="O9" s="37" t="s">
        <v>133</v>
      </c>
    </row>
    <row r="10" spans="1:15" ht="54" customHeight="1">
      <c r="A10" s="37">
        <v>3</v>
      </c>
      <c r="B10" s="18" t="s">
        <v>38</v>
      </c>
      <c r="C10" s="19" t="s">
        <v>39</v>
      </c>
      <c r="D10" s="162" t="s">
        <v>31</v>
      </c>
      <c r="E10" s="155">
        <v>42</v>
      </c>
      <c r="F10" s="156">
        <v>25</v>
      </c>
      <c r="G10" s="156">
        <v>25</v>
      </c>
      <c r="H10" s="163">
        <v>1</v>
      </c>
      <c r="I10" s="37" t="s">
        <v>133</v>
      </c>
      <c r="J10" s="37" t="s">
        <v>133</v>
      </c>
      <c r="K10" s="37" t="s">
        <v>133</v>
      </c>
      <c r="L10" s="37" t="s">
        <v>133</v>
      </c>
      <c r="M10" s="37" t="s">
        <v>133</v>
      </c>
      <c r="N10" s="37" t="s">
        <v>133</v>
      </c>
      <c r="O10" s="37" t="s">
        <v>133</v>
      </c>
    </row>
    <row r="11" spans="1:15" ht="54.75" customHeight="1">
      <c r="A11" s="25"/>
      <c r="B11" s="636" t="s">
        <v>40</v>
      </c>
      <c r="C11" s="637"/>
      <c r="D11" s="637"/>
      <c r="E11" s="637"/>
      <c r="F11" s="637"/>
      <c r="G11" s="637"/>
      <c r="H11" s="637"/>
      <c r="I11" s="637"/>
      <c r="J11" s="637"/>
      <c r="K11" s="637"/>
      <c r="L11" s="637"/>
      <c r="M11" s="637"/>
      <c r="N11" s="637"/>
      <c r="O11" s="637"/>
    </row>
    <row r="12" spans="1:15" ht="36.75" customHeight="1">
      <c r="A12" s="25"/>
      <c r="B12" s="584" t="s">
        <v>41</v>
      </c>
      <c r="C12" s="585"/>
      <c r="D12" s="585"/>
      <c r="E12" s="585"/>
      <c r="F12" s="585"/>
      <c r="G12" s="585"/>
      <c r="H12" s="585"/>
      <c r="I12" s="586"/>
      <c r="J12" s="208">
        <v>181719.09</v>
      </c>
      <c r="K12" s="205">
        <v>178167.99</v>
      </c>
      <c r="L12" s="184">
        <f>K12/J12*100</f>
        <v>98.045829967561474</v>
      </c>
      <c r="M12" s="378">
        <f>AVERAGE(H13:H14)</f>
        <v>1</v>
      </c>
      <c r="N12" s="43"/>
      <c r="O12" s="43"/>
    </row>
    <row r="13" spans="1:15" ht="129.75" customHeight="1">
      <c r="A13" s="50" t="s">
        <v>59</v>
      </c>
      <c r="B13" s="20" t="s">
        <v>319</v>
      </c>
      <c r="C13" s="21" t="s">
        <v>42</v>
      </c>
      <c r="D13" s="141">
        <v>0.3</v>
      </c>
      <c r="E13" s="155">
        <v>1926</v>
      </c>
      <c r="F13" s="156">
        <v>900</v>
      </c>
      <c r="G13" s="156">
        <v>2525</v>
      </c>
      <c r="H13" s="125">
        <v>1</v>
      </c>
      <c r="I13" s="143">
        <f>H13*D13</f>
        <v>0.3</v>
      </c>
      <c r="J13" s="37" t="s">
        <v>133</v>
      </c>
      <c r="K13" s="37" t="s">
        <v>133</v>
      </c>
      <c r="L13" s="37" t="s">
        <v>133</v>
      </c>
      <c r="M13" s="37" t="s">
        <v>133</v>
      </c>
      <c r="N13" s="37"/>
      <c r="O13" s="37"/>
    </row>
    <row r="14" spans="1:15" ht="111.75" customHeight="1">
      <c r="A14" s="50" t="s">
        <v>60</v>
      </c>
      <c r="B14" s="20" t="s">
        <v>43</v>
      </c>
      <c r="C14" s="21" t="s">
        <v>44</v>
      </c>
      <c r="D14" s="141">
        <v>0.3</v>
      </c>
      <c r="E14" s="155">
        <v>83</v>
      </c>
      <c r="F14" s="156">
        <v>70</v>
      </c>
      <c r="G14" s="156">
        <v>80.5</v>
      </c>
      <c r="H14" s="125">
        <v>1</v>
      </c>
      <c r="I14" s="143">
        <f>H14*D14</f>
        <v>0.3</v>
      </c>
      <c r="J14" s="37" t="s">
        <v>133</v>
      </c>
      <c r="K14" s="37" t="s">
        <v>133</v>
      </c>
      <c r="L14" s="37" t="s">
        <v>133</v>
      </c>
      <c r="M14" s="37" t="s">
        <v>133</v>
      </c>
      <c r="N14" s="37"/>
      <c r="O14" s="37"/>
    </row>
    <row r="15" spans="1:15" ht="15.75" customHeight="1">
      <c r="A15" s="25"/>
      <c r="B15" s="638" t="s">
        <v>45</v>
      </c>
      <c r="C15" s="639"/>
      <c r="D15" s="639"/>
      <c r="E15" s="639"/>
      <c r="F15" s="639"/>
      <c r="G15" s="639"/>
      <c r="H15" s="639"/>
      <c r="I15" s="639"/>
      <c r="J15" s="639"/>
      <c r="K15" s="639"/>
      <c r="L15" s="639"/>
      <c r="M15" s="639"/>
      <c r="N15" s="639"/>
      <c r="O15" s="639"/>
    </row>
    <row r="16" spans="1:15" ht="46.5" customHeight="1">
      <c r="A16" s="37">
        <v>1</v>
      </c>
      <c r="B16" s="23" t="s">
        <v>46</v>
      </c>
      <c r="C16" s="24" t="s">
        <v>47</v>
      </c>
      <c r="D16" s="160" t="s">
        <v>31</v>
      </c>
      <c r="E16" s="158">
        <v>4</v>
      </c>
      <c r="F16" s="159">
        <v>4</v>
      </c>
      <c r="G16" s="159">
        <v>4</v>
      </c>
      <c r="H16" s="163">
        <v>1</v>
      </c>
      <c r="I16" s="157" t="s">
        <v>133</v>
      </c>
      <c r="J16" s="37" t="s">
        <v>133</v>
      </c>
      <c r="K16" s="37" t="s">
        <v>133</v>
      </c>
      <c r="L16" s="37" t="s">
        <v>133</v>
      </c>
      <c r="M16" s="37" t="s">
        <v>133</v>
      </c>
      <c r="N16" s="27"/>
      <c r="O16" s="27"/>
    </row>
    <row r="17" spans="1:15" ht="16.5" customHeight="1">
      <c r="A17" s="25"/>
      <c r="B17" s="547" t="s">
        <v>48</v>
      </c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</row>
    <row r="18" spans="1:15" ht="23.25" customHeight="1">
      <c r="A18" s="25"/>
      <c r="B18" s="584" t="s">
        <v>49</v>
      </c>
      <c r="C18" s="585"/>
      <c r="D18" s="585"/>
      <c r="E18" s="585"/>
      <c r="F18" s="585"/>
      <c r="G18" s="585"/>
      <c r="H18" s="585"/>
      <c r="I18" s="586"/>
      <c r="J18" s="208">
        <v>20020.45</v>
      </c>
      <c r="K18" s="208">
        <v>19944.28</v>
      </c>
      <c r="L18" s="99">
        <f>K18/J18*100</f>
        <v>99.619539021350661</v>
      </c>
      <c r="M18" s="378">
        <f>H19</f>
        <v>1</v>
      </c>
      <c r="N18" s="44"/>
      <c r="O18" s="44"/>
    </row>
    <row r="19" spans="1:15" ht="32.25" customHeight="1">
      <c r="A19" s="50" t="s">
        <v>96</v>
      </c>
      <c r="B19" s="26" t="s">
        <v>50</v>
      </c>
      <c r="C19" s="20" t="s">
        <v>51</v>
      </c>
      <c r="D19" s="155">
        <v>0.4</v>
      </c>
      <c r="E19" s="124">
        <v>98.85</v>
      </c>
      <c r="F19" s="156">
        <v>97</v>
      </c>
      <c r="G19" s="156">
        <v>99.6</v>
      </c>
      <c r="H19" s="125">
        <v>1</v>
      </c>
      <c r="I19" s="161">
        <f>H19*D19</f>
        <v>0.4</v>
      </c>
      <c r="J19" s="37" t="s">
        <v>133</v>
      </c>
      <c r="K19" s="37" t="s">
        <v>133</v>
      </c>
      <c r="L19" s="37" t="s">
        <v>133</v>
      </c>
      <c r="M19" s="37" t="s">
        <v>133</v>
      </c>
      <c r="N19" s="27"/>
      <c r="O19" s="27"/>
    </row>
    <row r="20" spans="1:15">
      <c r="B20" s="109" t="s">
        <v>206</v>
      </c>
      <c r="D20" s="2">
        <f>SUM(D13:D14,D19)</f>
        <v>1</v>
      </c>
    </row>
  </sheetData>
  <mergeCells count="27">
    <mergeCell ref="A2:A5"/>
    <mergeCell ref="N2:N5"/>
    <mergeCell ref="O2:O5"/>
    <mergeCell ref="M2:M5"/>
    <mergeCell ref="L4:L5"/>
    <mergeCell ref="B18:I18"/>
    <mergeCell ref="C2:C5"/>
    <mergeCell ref="D2:D5"/>
    <mergeCell ref="B2:B5"/>
    <mergeCell ref="E3:E5"/>
    <mergeCell ref="F4:F5"/>
    <mergeCell ref="G4:G5"/>
    <mergeCell ref="H4:H5"/>
    <mergeCell ref="B17:O17"/>
    <mergeCell ref="B1:O1"/>
    <mergeCell ref="B6:I6"/>
    <mergeCell ref="B11:O11"/>
    <mergeCell ref="B7:O7"/>
    <mergeCell ref="B15:O15"/>
    <mergeCell ref="E2:I2"/>
    <mergeCell ref="I4:I5"/>
    <mergeCell ref="F3:I3"/>
    <mergeCell ref="J2:L2"/>
    <mergeCell ref="J3:L3"/>
    <mergeCell ref="J4:J5"/>
    <mergeCell ref="K4:K5"/>
    <mergeCell ref="B12:I12"/>
  </mergeCells>
  <pageMargins left="0.7" right="0.7" top="0.75" bottom="0.75" header="0.3" footer="0.3"/>
  <pageSetup paperSize="9" scale="4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view="pageBreakPreview" zoomScale="80" zoomScaleNormal="100" zoomScaleSheetLayoutView="80" workbookViewId="0">
      <selection activeCell="M30" sqref="M30"/>
    </sheetView>
  </sheetViews>
  <sheetFormatPr defaultRowHeight="15"/>
  <cols>
    <col min="1" max="1" width="4.42578125" customWidth="1"/>
    <col min="2" max="2" width="57" customWidth="1"/>
    <col min="8" max="8" width="22" style="107" customWidth="1"/>
    <col min="9" max="9" width="10.28515625" bestFit="1" customWidth="1"/>
    <col min="10" max="10" width="12" customWidth="1"/>
    <col min="11" max="11" width="12.140625" customWidth="1"/>
    <col min="12" max="12" width="13.140625" bestFit="1" customWidth="1"/>
    <col min="13" max="13" width="20.140625" customWidth="1"/>
    <col min="14" max="14" width="16.42578125" customWidth="1"/>
    <col min="15" max="15" width="20.85546875" customWidth="1"/>
  </cols>
  <sheetData>
    <row r="1" spans="1:15" ht="18.75">
      <c r="A1" s="25"/>
      <c r="B1" s="592" t="s">
        <v>566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30" customHeight="1">
      <c r="A2" s="516" t="s">
        <v>1</v>
      </c>
      <c r="B2" s="516" t="s">
        <v>2</v>
      </c>
      <c r="C2" s="516" t="s">
        <v>3</v>
      </c>
      <c r="D2" s="516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93" t="s">
        <v>416</v>
      </c>
      <c r="N2" s="516" t="s">
        <v>399</v>
      </c>
      <c r="O2" s="516" t="s">
        <v>402</v>
      </c>
    </row>
    <row r="3" spans="1:15" ht="15" customHeight="1">
      <c r="A3" s="516"/>
      <c r="B3" s="516"/>
      <c r="C3" s="516"/>
      <c r="D3" s="516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93"/>
      <c r="N3" s="516"/>
      <c r="O3" s="516"/>
    </row>
    <row r="4" spans="1:15" ht="15" customHeight="1">
      <c r="A4" s="516"/>
      <c r="B4" s="516"/>
      <c r="C4" s="516"/>
      <c r="D4" s="516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93"/>
      <c r="N4" s="516"/>
      <c r="O4" s="516"/>
    </row>
    <row r="5" spans="1:15" ht="53.25" customHeight="1">
      <c r="A5" s="516"/>
      <c r="B5" s="516"/>
      <c r="C5" s="516"/>
      <c r="D5" s="516"/>
      <c r="E5" s="519"/>
      <c r="F5" s="543"/>
      <c r="G5" s="543"/>
      <c r="H5" s="516"/>
      <c r="I5" s="519"/>
      <c r="J5" s="516"/>
      <c r="K5" s="516"/>
      <c r="L5" s="516"/>
      <c r="M5" s="593"/>
      <c r="N5" s="516"/>
      <c r="O5" s="516"/>
    </row>
    <row r="6" spans="1:15" ht="30.75" customHeight="1">
      <c r="A6" s="25"/>
      <c r="B6" s="644" t="s">
        <v>268</v>
      </c>
      <c r="C6" s="644"/>
      <c r="D6" s="644"/>
      <c r="E6" s="644"/>
      <c r="F6" s="644"/>
      <c r="G6" s="644"/>
      <c r="H6" s="644"/>
      <c r="I6" s="644"/>
      <c r="J6" s="189">
        <v>38096.29</v>
      </c>
      <c r="K6" s="189">
        <v>34484.239999999998</v>
      </c>
      <c r="L6" s="58">
        <f>K6/J6*100</f>
        <v>90.518630554313816</v>
      </c>
      <c r="M6" s="61">
        <f>AVERAGE(H13:H22,H25,H28:H30)</f>
        <v>0.91509433962264153</v>
      </c>
      <c r="N6" s="61">
        <f>AVERAGE(H8:H10)</f>
        <v>0.66666666666666663</v>
      </c>
      <c r="O6" s="61">
        <f>SUM(I13:I22,I25,I28:I30)</f>
        <v>0.89886792452830189</v>
      </c>
    </row>
    <row r="7" spans="1:15" ht="15" customHeight="1">
      <c r="A7" s="25"/>
      <c r="B7" s="643" t="s">
        <v>383</v>
      </c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</row>
    <row r="8" spans="1:15" ht="85.5" customHeight="1">
      <c r="A8" s="37">
        <v>1</v>
      </c>
      <c r="B8" s="97" t="s">
        <v>384</v>
      </c>
      <c r="C8" s="103" t="s">
        <v>284</v>
      </c>
      <c r="D8" s="158" t="s">
        <v>31</v>
      </c>
      <c r="E8" s="124">
        <v>42</v>
      </c>
      <c r="F8" s="156">
        <v>10</v>
      </c>
      <c r="G8" s="156">
        <v>36</v>
      </c>
      <c r="H8" s="191">
        <v>1</v>
      </c>
      <c r="I8" s="158" t="s">
        <v>31</v>
      </c>
      <c r="J8" s="22"/>
      <c r="K8" s="22"/>
      <c r="L8" s="22"/>
      <c r="M8" s="22"/>
      <c r="N8" s="22"/>
      <c r="O8" s="22"/>
    </row>
    <row r="9" spans="1:15" ht="27.75" customHeight="1">
      <c r="A9" s="37">
        <v>2</v>
      </c>
      <c r="B9" s="102" t="s">
        <v>385</v>
      </c>
      <c r="C9" s="103" t="s">
        <v>386</v>
      </c>
      <c r="D9" s="158" t="s">
        <v>31</v>
      </c>
      <c r="E9" s="124">
        <v>0</v>
      </c>
      <c r="F9" s="156">
        <v>200</v>
      </c>
      <c r="G9" s="156">
        <v>0</v>
      </c>
      <c r="H9" s="191">
        <f t="shared" ref="H9" si="0">G9/F9</f>
        <v>0</v>
      </c>
      <c r="I9" s="158" t="s">
        <v>31</v>
      </c>
      <c r="J9" s="22"/>
      <c r="K9" s="22"/>
      <c r="L9" s="22"/>
      <c r="M9" s="22"/>
      <c r="N9" s="22"/>
      <c r="O9" s="22"/>
    </row>
    <row r="10" spans="1:15" ht="26.25">
      <c r="A10" s="37">
        <v>3</v>
      </c>
      <c r="B10" s="29" t="s">
        <v>387</v>
      </c>
      <c r="C10" s="66" t="s">
        <v>119</v>
      </c>
      <c r="D10" s="158" t="s">
        <v>31</v>
      </c>
      <c r="E10" s="124">
        <v>251</v>
      </c>
      <c r="F10" s="156">
        <v>276</v>
      </c>
      <c r="G10" s="156">
        <v>295</v>
      </c>
      <c r="H10" s="191">
        <v>1</v>
      </c>
      <c r="I10" s="158" t="s">
        <v>31</v>
      </c>
      <c r="J10" s="22"/>
      <c r="K10" s="22"/>
      <c r="L10" s="22"/>
      <c r="M10" s="22"/>
      <c r="N10" s="22"/>
      <c r="O10" s="22"/>
    </row>
    <row r="11" spans="1:15" ht="15" customHeight="1">
      <c r="A11" s="25"/>
      <c r="B11" s="640" t="s">
        <v>388</v>
      </c>
      <c r="C11" s="641"/>
      <c r="D11" s="641"/>
      <c r="E11" s="641"/>
      <c r="F11" s="641"/>
      <c r="G11" s="641"/>
      <c r="H11" s="641"/>
      <c r="I11" s="641"/>
      <c r="J11" s="641"/>
      <c r="K11" s="641"/>
      <c r="L11" s="641"/>
      <c r="M11" s="641"/>
      <c r="N11" s="641"/>
      <c r="O11" s="642"/>
    </row>
    <row r="12" spans="1:15" s="2" customFormat="1" ht="15" customHeight="1">
      <c r="A12" s="25"/>
      <c r="B12" s="640" t="s">
        <v>635</v>
      </c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2"/>
    </row>
    <row r="13" spans="1:15" ht="31.5" customHeight="1">
      <c r="A13" s="25" t="s">
        <v>59</v>
      </c>
      <c r="B13" s="97" t="s">
        <v>636</v>
      </c>
      <c r="C13" s="103" t="s">
        <v>119</v>
      </c>
      <c r="D13" s="192">
        <v>0.1</v>
      </c>
      <c r="E13" s="192">
        <v>671</v>
      </c>
      <c r="F13" s="156">
        <v>665</v>
      </c>
      <c r="G13" s="156">
        <v>673</v>
      </c>
      <c r="H13" s="191">
        <v>1</v>
      </c>
      <c r="I13" s="163">
        <f>H13*D13</f>
        <v>0.1</v>
      </c>
      <c r="J13" s="22"/>
      <c r="K13" s="22"/>
      <c r="L13" s="22"/>
      <c r="M13" s="22"/>
      <c r="N13" s="22"/>
      <c r="O13" s="22"/>
    </row>
    <row r="14" spans="1:15" ht="39">
      <c r="A14" s="25" t="s">
        <v>60</v>
      </c>
      <c r="B14" s="97" t="s">
        <v>389</v>
      </c>
      <c r="C14" s="103" t="s">
        <v>119</v>
      </c>
      <c r="D14" s="192">
        <v>0.06</v>
      </c>
      <c r="E14" s="192">
        <v>594</v>
      </c>
      <c r="F14" s="156">
        <v>583</v>
      </c>
      <c r="G14" s="156">
        <v>572</v>
      </c>
      <c r="H14" s="163">
        <f>G14/F14</f>
        <v>0.98113207547169812</v>
      </c>
      <c r="I14" s="163">
        <f t="shared" ref="I14:I22" si="1">H14*D14</f>
        <v>5.8867924528301883E-2</v>
      </c>
      <c r="J14" s="22"/>
      <c r="K14" s="22"/>
      <c r="L14" s="22"/>
      <c r="M14" s="22"/>
      <c r="N14" s="22"/>
      <c r="O14" s="22"/>
    </row>
    <row r="15" spans="1:15" ht="20.25" customHeight="1">
      <c r="A15" s="197" t="s">
        <v>62</v>
      </c>
      <c r="B15" s="97" t="s">
        <v>390</v>
      </c>
      <c r="C15" s="103" t="s">
        <v>119</v>
      </c>
      <c r="D15" s="192">
        <v>0.04</v>
      </c>
      <c r="E15" s="193">
        <v>77</v>
      </c>
      <c r="F15" s="156">
        <v>82</v>
      </c>
      <c r="G15" s="156">
        <v>101</v>
      </c>
      <c r="H15" s="191">
        <v>1</v>
      </c>
      <c r="I15" s="163">
        <f t="shared" si="1"/>
        <v>0.04</v>
      </c>
      <c r="J15" s="22"/>
      <c r="K15" s="22"/>
      <c r="L15" s="22"/>
      <c r="M15" s="22"/>
      <c r="N15" s="22"/>
      <c r="O15" s="22"/>
    </row>
    <row r="16" spans="1:15" ht="39">
      <c r="A16" s="25" t="s">
        <v>64</v>
      </c>
      <c r="B16" s="97" t="s">
        <v>391</v>
      </c>
      <c r="C16" s="103" t="s">
        <v>0</v>
      </c>
      <c r="D16" s="192">
        <v>0.05</v>
      </c>
      <c r="E16" s="192">
        <v>0</v>
      </c>
      <c r="F16" s="156">
        <v>100</v>
      </c>
      <c r="G16" s="156">
        <v>100</v>
      </c>
      <c r="H16" s="191">
        <f>G16/F16</f>
        <v>1</v>
      </c>
      <c r="I16" s="163">
        <f t="shared" si="1"/>
        <v>0.05</v>
      </c>
      <c r="J16" s="22"/>
      <c r="K16" s="22"/>
      <c r="L16" s="22"/>
      <c r="M16" s="22"/>
      <c r="N16" s="22"/>
      <c r="O16" s="22"/>
    </row>
    <row r="17" spans="1:15" ht="26.25">
      <c r="A17" s="25" t="s">
        <v>66</v>
      </c>
      <c r="B17" s="97" t="s">
        <v>637</v>
      </c>
      <c r="C17" s="103" t="s">
        <v>119</v>
      </c>
      <c r="D17" s="192">
        <v>0.1</v>
      </c>
      <c r="E17" s="192">
        <v>35</v>
      </c>
      <c r="F17" s="156">
        <v>40</v>
      </c>
      <c r="G17" s="156">
        <v>43</v>
      </c>
      <c r="H17" s="191">
        <v>1</v>
      </c>
      <c r="I17" s="163">
        <f t="shared" si="1"/>
        <v>0.1</v>
      </c>
      <c r="J17" s="22"/>
      <c r="K17" s="22"/>
      <c r="L17" s="22"/>
      <c r="M17" s="22"/>
      <c r="N17" s="22"/>
      <c r="O17" s="22"/>
    </row>
    <row r="18" spans="1:15" s="2" customFormat="1" ht="15.75">
      <c r="A18" s="25"/>
      <c r="B18" s="506" t="s">
        <v>638</v>
      </c>
      <c r="C18" s="103"/>
      <c r="D18" s="192"/>
      <c r="E18" s="192"/>
      <c r="F18" s="156"/>
      <c r="G18" s="156"/>
      <c r="H18" s="191"/>
      <c r="I18" s="163"/>
      <c r="J18" s="22"/>
      <c r="K18" s="22"/>
      <c r="L18" s="22"/>
      <c r="M18" s="22"/>
      <c r="N18" s="22"/>
      <c r="O18" s="22"/>
    </row>
    <row r="19" spans="1:15" ht="26.25">
      <c r="A19" s="25" t="s">
        <v>96</v>
      </c>
      <c r="B19" s="97" t="s">
        <v>392</v>
      </c>
      <c r="C19" s="103" t="s">
        <v>119</v>
      </c>
      <c r="D19" s="192">
        <v>0.1</v>
      </c>
      <c r="E19" s="192">
        <v>0</v>
      </c>
      <c r="F19" s="156">
        <v>3</v>
      </c>
      <c r="G19" s="156">
        <v>3</v>
      </c>
      <c r="H19" s="191">
        <f>G19/F19</f>
        <v>1</v>
      </c>
      <c r="I19" s="163">
        <f t="shared" si="1"/>
        <v>0.1</v>
      </c>
      <c r="J19" s="22"/>
      <c r="K19" s="22"/>
      <c r="L19" s="22"/>
      <c r="M19" s="22"/>
      <c r="N19" s="22"/>
      <c r="O19" s="22"/>
    </row>
    <row r="20" spans="1:15" s="2" customFormat="1" ht="15.75">
      <c r="A20" s="25"/>
      <c r="B20" s="506" t="s">
        <v>639</v>
      </c>
      <c r="C20" s="103"/>
      <c r="D20" s="192"/>
      <c r="E20" s="192"/>
      <c r="F20" s="156"/>
      <c r="G20" s="156"/>
      <c r="H20" s="191"/>
      <c r="I20" s="163"/>
      <c r="J20" s="22"/>
      <c r="K20" s="22"/>
      <c r="L20" s="22"/>
      <c r="M20" s="22"/>
      <c r="N20" s="22"/>
      <c r="O20" s="22"/>
    </row>
    <row r="21" spans="1:15" ht="28.5" customHeight="1">
      <c r="A21" s="508" t="s">
        <v>102</v>
      </c>
      <c r="B21" s="151" t="s">
        <v>547</v>
      </c>
      <c r="C21" s="117" t="s">
        <v>305</v>
      </c>
      <c r="D21" s="194">
        <v>0.1</v>
      </c>
      <c r="E21" s="124">
        <v>0</v>
      </c>
      <c r="F21" s="156">
        <v>3</v>
      </c>
      <c r="G21" s="156">
        <v>3</v>
      </c>
      <c r="H21" s="191">
        <f>G21/F21</f>
        <v>1</v>
      </c>
      <c r="I21" s="163">
        <f t="shared" si="1"/>
        <v>0.1</v>
      </c>
      <c r="J21" s="22"/>
      <c r="K21" s="22"/>
      <c r="L21" s="22"/>
      <c r="M21" s="22"/>
      <c r="N21" s="22"/>
      <c r="O21" s="22"/>
    </row>
    <row r="22" spans="1:15" ht="23.25" customHeight="1">
      <c r="A22" s="508" t="s">
        <v>104</v>
      </c>
      <c r="B22" s="152" t="s">
        <v>640</v>
      </c>
      <c r="C22" s="117" t="s">
        <v>393</v>
      </c>
      <c r="D22" s="194">
        <v>0.05</v>
      </c>
      <c r="E22" s="124">
        <v>0</v>
      </c>
      <c r="F22" s="156">
        <v>160</v>
      </c>
      <c r="G22" s="156">
        <v>176.2</v>
      </c>
      <c r="H22" s="191">
        <v>1</v>
      </c>
      <c r="I22" s="163">
        <f t="shared" si="1"/>
        <v>0.05</v>
      </c>
      <c r="J22" s="22"/>
      <c r="K22" s="22"/>
      <c r="L22" s="22"/>
      <c r="M22" s="22"/>
      <c r="N22" s="22"/>
      <c r="O22" s="22"/>
    </row>
    <row r="23" spans="1:15" ht="15" customHeight="1">
      <c r="A23" s="508"/>
      <c r="B23" s="640" t="s">
        <v>394</v>
      </c>
      <c r="C23" s="641"/>
      <c r="D23" s="641"/>
      <c r="E23" s="641"/>
      <c r="F23" s="641"/>
      <c r="G23" s="641"/>
      <c r="H23" s="641"/>
      <c r="I23" s="641"/>
      <c r="J23" s="641"/>
      <c r="K23" s="641"/>
      <c r="L23" s="641"/>
      <c r="M23" s="641"/>
      <c r="N23" s="641"/>
      <c r="O23" s="642"/>
    </row>
    <row r="24" spans="1:15" s="2" customFormat="1" ht="15" customHeight="1">
      <c r="A24" s="508"/>
      <c r="B24" s="506" t="s">
        <v>641</v>
      </c>
      <c r="C24" s="500"/>
      <c r="D24" s="500"/>
      <c r="E24" s="500"/>
      <c r="F24" s="500"/>
      <c r="G24" s="500"/>
      <c r="H24" s="500"/>
      <c r="I24" s="500"/>
      <c r="J24" s="500"/>
      <c r="K24" s="500"/>
      <c r="L24" s="500"/>
      <c r="M24" s="500"/>
      <c r="N24" s="500"/>
      <c r="O24" s="501"/>
    </row>
    <row r="25" spans="1:15">
      <c r="A25" s="507" t="s">
        <v>156</v>
      </c>
      <c r="B25" s="102" t="s">
        <v>395</v>
      </c>
      <c r="C25" s="103" t="s">
        <v>393</v>
      </c>
      <c r="D25" s="195">
        <v>0.1</v>
      </c>
      <c r="E25" s="124">
        <v>0</v>
      </c>
      <c r="F25" s="156">
        <v>100</v>
      </c>
      <c r="G25" s="156">
        <v>0</v>
      </c>
      <c r="H25" s="144">
        <v>0</v>
      </c>
      <c r="I25" s="144">
        <f>H25*D25</f>
        <v>0</v>
      </c>
      <c r="J25" s="22"/>
      <c r="K25" s="22"/>
      <c r="L25" s="22"/>
      <c r="M25" s="22"/>
      <c r="N25" s="22"/>
      <c r="O25" s="22"/>
    </row>
    <row r="26" spans="1:15" ht="15" customHeight="1">
      <c r="A26" s="508"/>
      <c r="B26" s="640" t="s">
        <v>396</v>
      </c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1"/>
      <c r="N26" s="641"/>
      <c r="O26" s="642"/>
    </row>
    <row r="27" spans="1:15" s="2" customFormat="1" ht="15" customHeight="1">
      <c r="A27" s="508"/>
      <c r="B27" s="506" t="s">
        <v>642</v>
      </c>
      <c r="C27" s="500"/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1"/>
    </row>
    <row r="28" spans="1:15" ht="27" customHeight="1">
      <c r="A28" s="507" t="s">
        <v>605</v>
      </c>
      <c r="B28" s="29" t="s">
        <v>397</v>
      </c>
      <c r="C28" s="66" t="s">
        <v>119</v>
      </c>
      <c r="D28" s="193">
        <v>0.1</v>
      </c>
      <c r="E28" s="193">
        <v>0</v>
      </c>
      <c r="F28" s="156">
        <v>6</v>
      </c>
      <c r="G28" s="156">
        <v>6</v>
      </c>
      <c r="H28" s="196">
        <f>G28/F28</f>
        <v>1</v>
      </c>
      <c r="I28" s="163">
        <f>H28*D28</f>
        <v>0.1</v>
      </c>
      <c r="J28" s="22"/>
      <c r="K28" s="22"/>
      <c r="L28" s="22"/>
      <c r="M28" s="22"/>
      <c r="N28" s="22"/>
      <c r="O28" s="22"/>
    </row>
    <row r="29" spans="1:15" s="2" customFormat="1" ht="27" customHeight="1">
      <c r="A29" s="197">
        <v>45327</v>
      </c>
      <c r="B29" s="29" t="s">
        <v>398</v>
      </c>
      <c r="C29" s="66" t="s">
        <v>119</v>
      </c>
      <c r="D29" s="193">
        <v>0.1</v>
      </c>
      <c r="E29" s="193">
        <v>1</v>
      </c>
      <c r="F29" s="156">
        <v>16</v>
      </c>
      <c r="G29" s="156">
        <v>37</v>
      </c>
      <c r="H29" s="196">
        <v>1</v>
      </c>
      <c r="I29" s="163">
        <f>H29*D29</f>
        <v>0.1</v>
      </c>
      <c r="J29" s="22"/>
      <c r="K29" s="22"/>
      <c r="L29" s="22"/>
      <c r="M29" s="22"/>
      <c r="N29" s="22"/>
      <c r="O29" s="22"/>
    </row>
    <row r="30" spans="1:15" ht="26.25">
      <c r="A30" s="507">
        <v>45354</v>
      </c>
      <c r="B30" s="29" t="s">
        <v>398</v>
      </c>
      <c r="C30" s="66" t="s">
        <v>119</v>
      </c>
      <c r="D30" s="193">
        <v>0.1</v>
      </c>
      <c r="E30" s="193">
        <v>7</v>
      </c>
      <c r="F30" s="156">
        <v>7</v>
      </c>
      <c r="G30" s="156">
        <v>7</v>
      </c>
      <c r="H30" s="196">
        <v>1</v>
      </c>
      <c r="I30" s="163">
        <f>H30*D30</f>
        <v>0.1</v>
      </c>
      <c r="J30" s="22"/>
      <c r="K30" s="22"/>
      <c r="L30" s="22"/>
      <c r="M30" s="22"/>
      <c r="N30" s="22"/>
      <c r="O30" s="22"/>
    </row>
    <row r="31" spans="1:15">
      <c r="B31" s="109" t="s">
        <v>206</v>
      </c>
      <c r="D31">
        <f>SUM(D13:D22,D25,D28:D30)</f>
        <v>0.99999999999999989</v>
      </c>
    </row>
  </sheetData>
  <mergeCells count="26">
    <mergeCell ref="B23:O23"/>
    <mergeCell ref="B26:O26"/>
    <mergeCell ref="B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B12:O12"/>
    <mergeCell ref="B11:O11"/>
    <mergeCell ref="B7:O7"/>
    <mergeCell ref="I4:I5"/>
    <mergeCell ref="J4:J5"/>
    <mergeCell ref="K4:K5"/>
    <mergeCell ref="L4:L5"/>
    <mergeCell ref="B6:I6"/>
    <mergeCell ref="F4:F5"/>
    <mergeCell ref="G4:G5"/>
    <mergeCell ref="H4:H5"/>
  </mergeCells>
  <pageMargins left="0.7" right="0.7" top="0.75" bottom="0.75" header="0.3" footer="0.3"/>
  <pageSetup paperSize="9" scale="3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view="pageBreakPreview" topLeftCell="A22" zoomScale="90" zoomScaleNormal="100" zoomScaleSheetLayoutView="90" workbookViewId="0">
      <selection activeCell="H28" sqref="H28"/>
    </sheetView>
  </sheetViews>
  <sheetFormatPr defaultRowHeight="15"/>
  <cols>
    <col min="1" max="1" width="4.42578125" customWidth="1"/>
    <col min="2" max="2" width="45.7109375" customWidth="1"/>
    <col min="3" max="3" width="7.140625" customWidth="1"/>
    <col min="5" max="5" width="7.85546875" customWidth="1"/>
    <col min="6" max="6" width="7.5703125" customWidth="1"/>
    <col min="7" max="7" width="7.7109375" customWidth="1"/>
    <col min="8" max="8" width="21.7109375" customWidth="1"/>
    <col min="9" max="9" width="9.140625" customWidth="1"/>
    <col min="10" max="11" width="11.28515625" customWidth="1"/>
    <col min="12" max="12" width="7.7109375" customWidth="1"/>
    <col min="13" max="13" width="16" customWidth="1"/>
    <col min="14" max="14" width="11.28515625" customWidth="1"/>
    <col min="15" max="15" width="15.42578125" customWidth="1"/>
  </cols>
  <sheetData>
    <row r="1" spans="1:15" ht="18.75">
      <c r="A1" s="131"/>
      <c r="B1" s="634" t="s">
        <v>567</v>
      </c>
      <c r="C1" s="634"/>
      <c r="D1" s="634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</row>
    <row r="2" spans="1:15" ht="15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415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53.25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>
      <c r="A6" s="140"/>
      <c r="B6" s="59" t="s">
        <v>270</v>
      </c>
      <c r="C6" s="140"/>
      <c r="D6" s="140"/>
      <c r="E6" s="140"/>
      <c r="F6" s="140"/>
      <c r="G6" s="140"/>
      <c r="H6" s="140"/>
      <c r="I6" s="140"/>
      <c r="J6" s="189">
        <v>59453</v>
      </c>
      <c r="K6" s="189">
        <v>57686.02</v>
      </c>
      <c r="L6" s="58">
        <f>K6/J6*100</f>
        <v>97.027938035086535</v>
      </c>
      <c r="M6" s="60" t="s">
        <v>133</v>
      </c>
      <c r="N6" s="61">
        <f>AVERAGE(H8:H11)</f>
        <v>1</v>
      </c>
      <c r="O6" s="61">
        <f>SUM(I14:I15,I18:I19,I22:I23,I26,I28,I30)</f>
        <v>0.65066666666666662</v>
      </c>
    </row>
    <row r="7" spans="1:15">
      <c r="A7" s="22"/>
      <c r="B7" s="601" t="s">
        <v>643</v>
      </c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</row>
    <row r="8" spans="1:15" ht="39">
      <c r="A8" s="22">
        <v>1</v>
      </c>
      <c r="B8" s="138" t="s">
        <v>424</v>
      </c>
      <c r="C8" s="158" t="s">
        <v>0</v>
      </c>
      <c r="D8" s="158" t="s">
        <v>31</v>
      </c>
      <c r="E8" s="141">
        <v>29</v>
      </c>
      <c r="F8" s="142">
        <v>29</v>
      </c>
      <c r="G8" s="142">
        <v>29</v>
      </c>
      <c r="H8" s="144">
        <f>G8/F8</f>
        <v>1</v>
      </c>
      <c r="I8" s="158" t="s">
        <v>31</v>
      </c>
      <c r="J8" s="141"/>
      <c r="K8" s="141"/>
      <c r="L8" s="141"/>
      <c r="M8" s="141"/>
      <c r="N8" s="141"/>
      <c r="O8" s="143"/>
    </row>
    <row r="9" spans="1:15" ht="26.25">
      <c r="A9" s="22">
        <v>2</v>
      </c>
      <c r="B9" s="138" t="s">
        <v>425</v>
      </c>
      <c r="C9" s="158" t="s">
        <v>0</v>
      </c>
      <c r="D9" s="158" t="s">
        <v>31</v>
      </c>
      <c r="E9" s="141">
        <v>0.2</v>
      </c>
      <c r="F9" s="142">
        <v>0.2</v>
      </c>
      <c r="G9" s="142">
        <v>0.2</v>
      </c>
      <c r="H9" s="144">
        <f t="shared" ref="H9:H11" si="0">G9/F9</f>
        <v>1</v>
      </c>
      <c r="I9" s="158" t="s">
        <v>31</v>
      </c>
      <c r="J9" s="141"/>
      <c r="K9" s="141"/>
      <c r="L9" s="141"/>
      <c r="M9" s="141"/>
      <c r="N9" s="141"/>
      <c r="O9" s="141"/>
    </row>
    <row r="10" spans="1:15" ht="26.25">
      <c r="A10" s="22">
        <v>3</v>
      </c>
      <c r="B10" s="138" t="s">
        <v>426</v>
      </c>
      <c r="C10" s="158" t="s">
        <v>0</v>
      </c>
      <c r="D10" s="158" t="s">
        <v>31</v>
      </c>
      <c r="E10" s="141">
        <v>90</v>
      </c>
      <c r="F10" s="142">
        <v>90</v>
      </c>
      <c r="G10" s="142">
        <v>90</v>
      </c>
      <c r="H10" s="144">
        <f t="shared" si="0"/>
        <v>1</v>
      </c>
      <c r="I10" s="158" t="s">
        <v>31</v>
      </c>
      <c r="J10" s="141"/>
      <c r="K10" s="141"/>
      <c r="L10" s="141"/>
      <c r="M10" s="141"/>
      <c r="N10" s="141"/>
      <c r="O10" s="141"/>
    </row>
    <row r="11" spans="1:15" ht="53.25" customHeight="1">
      <c r="A11" s="22">
        <v>4</v>
      </c>
      <c r="B11" s="138" t="s">
        <v>427</v>
      </c>
      <c r="C11" s="158" t="s">
        <v>0</v>
      </c>
      <c r="D11" s="158" t="s">
        <v>31</v>
      </c>
      <c r="E11" s="141">
        <v>15</v>
      </c>
      <c r="F11" s="142">
        <v>15</v>
      </c>
      <c r="G11" s="142">
        <v>15</v>
      </c>
      <c r="H11" s="144">
        <f t="shared" si="0"/>
        <v>1</v>
      </c>
      <c r="I11" s="158" t="s">
        <v>31</v>
      </c>
      <c r="J11" s="141"/>
      <c r="K11" s="141"/>
      <c r="L11" s="141"/>
      <c r="M11" s="141"/>
      <c r="N11" s="141"/>
      <c r="O11" s="141"/>
    </row>
    <row r="12" spans="1:15">
      <c r="A12" s="22"/>
      <c r="B12" s="562" t="s">
        <v>542</v>
      </c>
      <c r="C12" s="601"/>
      <c r="D12" s="601"/>
      <c r="E12" s="601"/>
      <c r="F12" s="601"/>
      <c r="G12" s="601"/>
      <c r="H12" s="601"/>
      <c r="I12" s="601"/>
      <c r="J12" s="601"/>
      <c r="K12" s="601"/>
      <c r="L12" s="601"/>
      <c r="M12" s="601"/>
      <c r="N12" s="601"/>
      <c r="O12" s="601"/>
    </row>
    <row r="13" spans="1:15">
      <c r="A13" s="22"/>
      <c r="B13" s="645" t="s">
        <v>428</v>
      </c>
      <c r="C13" s="645"/>
      <c r="D13" s="645"/>
      <c r="E13" s="645"/>
      <c r="F13" s="645"/>
      <c r="G13" s="645"/>
      <c r="H13" s="645"/>
      <c r="I13" s="645"/>
      <c r="J13" s="189">
        <v>19721.099999999999</v>
      </c>
      <c r="K13" s="189">
        <v>18240</v>
      </c>
      <c r="L13" s="58">
        <f>K13/J13*100</f>
        <v>92.489769840424728</v>
      </c>
      <c r="M13" s="61">
        <f>AVERAGE(H14:H15)</f>
        <v>1</v>
      </c>
      <c r="N13" s="139"/>
      <c r="O13" s="139"/>
    </row>
    <row r="14" spans="1:15" ht="26.25">
      <c r="A14" s="22" t="s">
        <v>59</v>
      </c>
      <c r="B14" s="138" t="s">
        <v>429</v>
      </c>
      <c r="C14" s="158" t="s">
        <v>430</v>
      </c>
      <c r="D14" s="141">
        <v>0.12</v>
      </c>
      <c r="E14" s="141">
        <v>7</v>
      </c>
      <c r="F14" s="142">
        <v>7</v>
      </c>
      <c r="G14" s="142">
        <v>8</v>
      </c>
      <c r="H14" s="144">
        <v>1</v>
      </c>
      <c r="I14" s="141">
        <f>H14*D14</f>
        <v>0.12</v>
      </c>
      <c r="J14" s="141"/>
      <c r="K14" s="141"/>
      <c r="L14" s="141"/>
      <c r="M14" s="141"/>
      <c r="N14" s="141"/>
      <c r="O14" s="141"/>
    </row>
    <row r="15" spans="1:15" ht="26.25">
      <c r="A15" s="22" t="s">
        <v>60</v>
      </c>
      <c r="B15" s="138" t="s">
        <v>431</v>
      </c>
      <c r="C15" s="158" t="s">
        <v>432</v>
      </c>
      <c r="D15" s="141">
        <v>0.11</v>
      </c>
      <c r="E15" s="141">
        <v>517</v>
      </c>
      <c r="F15" s="142">
        <v>425</v>
      </c>
      <c r="G15" s="174">
        <v>649.6</v>
      </c>
      <c r="H15" s="144">
        <v>1</v>
      </c>
      <c r="I15" s="141">
        <f>H15*D15</f>
        <v>0.11</v>
      </c>
      <c r="J15" s="141"/>
      <c r="K15" s="141"/>
      <c r="L15" s="141"/>
      <c r="M15" s="141"/>
      <c r="N15" s="141"/>
      <c r="O15" s="141"/>
    </row>
    <row r="16" spans="1:15" ht="27.75" customHeight="1">
      <c r="A16" s="22"/>
      <c r="B16" s="562" t="s">
        <v>543</v>
      </c>
      <c r="C16" s="562"/>
      <c r="D16" s="562"/>
      <c r="E16" s="562"/>
      <c r="F16" s="562"/>
      <c r="G16" s="562"/>
      <c r="H16" s="562"/>
      <c r="I16" s="562"/>
      <c r="J16" s="562"/>
      <c r="K16" s="562"/>
      <c r="L16" s="562"/>
      <c r="M16" s="562"/>
      <c r="N16" s="562"/>
      <c r="O16" s="562"/>
    </row>
    <row r="17" spans="1:15" ht="30" customHeight="1">
      <c r="A17" s="22"/>
      <c r="B17" s="644" t="s">
        <v>544</v>
      </c>
      <c r="C17" s="644"/>
      <c r="D17" s="644"/>
      <c r="E17" s="644"/>
      <c r="F17" s="644"/>
      <c r="G17" s="644"/>
      <c r="H17" s="644"/>
      <c r="I17" s="644"/>
      <c r="J17" s="189">
        <v>243</v>
      </c>
      <c r="K17" s="189">
        <v>0</v>
      </c>
      <c r="L17" s="349" t="s">
        <v>133</v>
      </c>
      <c r="M17" s="349" t="s">
        <v>133</v>
      </c>
      <c r="N17" s="139"/>
      <c r="O17" s="141"/>
    </row>
    <row r="18" spans="1:15" ht="26.25">
      <c r="A18" s="22" t="s">
        <v>96</v>
      </c>
      <c r="B18" s="138" t="s">
        <v>433</v>
      </c>
      <c r="C18" s="158" t="s">
        <v>430</v>
      </c>
      <c r="D18" s="141">
        <v>0.12</v>
      </c>
      <c r="E18" s="141">
        <v>0</v>
      </c>
      <c r="F18" s="142">
        <v>3</v>
      </c>
      <c r="G18" s="142">
        <v>0</v>
      </c>
      <c r="H18" s="158" t="s">
        <v>133</v>
      </c>
      <c r="I18" s="348" t="s">
        <v>133</v>
      </c>
      <c r="J18" s="141"/>
      <c r="K18" s="141"/>
      <c r="L18" s="141"/>
      <c r="M18" s="141"/>
      <c r="N18" s="141"/>
      <c r="O18" s="141"/>
    </row>
    <row r="19" spans="1:15" ht="26.25">
      <c r="A19" s="22" t="s">
        <v>21</v>
      </c>
      <c r="B19" s="138" t="s">
        <v>434</v>
      </c>
      <c r="C19" s="158" t="s">
        <v>432</v>
      </c>
      <c r="D19" s="141">
        <v>0.11</v>
      </c>
      <c r="E19" s="141">
        <v>0</v>
      </c>
      <c r="F19" s="142">
        <v>216</v>
      </c>
      <c r="G19" s="142">
        <v>0</v>
      </c>
      <c r="H19" s="158" t="s">
        <v>133</v>
      </c>
      <c r="I19" s="348" t="s">
        <v>133</v>
      </c>
      <c r="J19" s="141"/>
      <c r="K19" s="141"/>
      <c r="L19" s="141"/>
      <c r="M19" s="141"/>
      <c r="N19" s="141"/>
      <c r="O19" s="141"/>
    </row>
    <row r="20" spans="1:15" ht="26.25" customHeight="1">
      <c r="A20" s="22"/>
      <c r="B20" s="562" t="s">
        <v>545</v>
      </c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  <c r="O20" s="562"/>
    </row>
    <row r="21" spans="1:15">
      <c r="A21" s="22"/>
      <c r="B21" s="644" t="s">
        <v>435</v>
      </c>
      <c r="C21" s="644"/>
      <c r="D21" s="644"/>
      <c r="E21" s="644"/>
      <c r="F21" s="644"/>
      <c r="G21" s="644"/>
      <c r="H21" s="644"/>
      <c r="I21" s="644"/>
      <c r="J21" s="189">
        <v>1948.4</v>
      </c>
      <c r="K21" s="189">
        <v>1948.4</v>
      </c>
      <c r="L21" s="58">
        <f>K21/J21*100</f>
        <v>100</v>
      </c>
      <c r="M21" s="61">
        <f>AVERAGE(H22:H23)</f>
        <v>0.77777777777777779</v>
      </c>
      <c r="N21" s="139"/>
      <c r="O21" s="139"/>
    </row>
    <row r="22" spans="1:15" ht="51.75">
      <c r="A22" s="22" t="s">
        <v>102</v>
      </c>
      <c r="B22" s="138" t="s">
        <v>436</v>
      </c>
      <c r="C22" s="158" t="s">
        <v>0</v>
      </c>
      <c r="D22" s="141">
        <v>0.12</v>
      </c>
      <c r="E22" s="141">
        <v>50</v>
      </c>
      <c r="F22" s="142">
        <v>90</v>
      </c>
      <c r="G22" s="142">
        <v>50</v>
      </c>
      <c r="H22" s="144">
        <f>G22/F22</f>
        <v>0.55555555555555558</v>
      </c>
      <c r="I22" s="143">
        <f>H22*D22</f>
        <v>6.6666666666666666E-2</v>
      </c>
      <c r="J22" s="141"/>
      <c r="K22" s="141"/>
      <c r="L22" s="141"/>
      <c r="M22" s="141"/>
      <c r="N22" s="141"/>
      <c r="O22" s="141"/>
    </row>
    <row r="23" spans="1:15" ht="128.25">
      <c r="A23" s="22" t="s">
        <v>104</v>
      </c>
      <c r="B23" s="138" t="s">
        <v>437</v>
      </c>
      <c r="C23" s="158" t="s">
        <v>0</v>
      </c>
      <c r="D23" s="141">
        <v>0.11</v>
      </c>
      <c r="E23" s="141">
        <v>100</v>
      </c>
      <c r="F23" s="142">
        <v>100</v>
      </c>
      <c r="G23" s="142">
        <v>100</v>
      </c>
      <c r="H23" s="144">
        <f>G23/F23</f>
        <v>1</v>
      </c>
      <c r="I23" s="143">
        <f>H23*D23</f>
        <v>0.11</v>
      </c>
      <c r="J23" s="141"/>
      <c r="K23" s="141"/>
      <c r="L23" s="141"/>
      <c r="M23" s="141"/>
      <c r="N23" s="141"/>
      <c r="O23" s="141"/>
    </row>
    <row r="24" spans="1:15" s="2" customFormat="1">
      <c r="A24" s="22"/>
      <c r="B24" s="563" t="s">
        <v>518</v>
      </c>
      <c r="C24" s="564"/>
      <c r="D24" s="564"/>
      <c r="E24" s="564"/>
      <c r="F24" s="564"/>
      <c r="G24" s="564"/>
      <c r="H24" s="564"/>
      <c r="I24" s="564"/>
      <c r="J24" s="564"/>
      <c r="K24" s="564"/>
      <c r="L24" s="564"/>
      <c r="M24" s="564"/>
      <c r="N24" s="564"/>
      <c r="O24" s="651"/>
    </row>
    <row r="25" spans="1:15" s="2" customFormat="1" ht="26.25" customHeight="1">
      <c r="A25" s="22"/>
      <c r="B25" s="648" t="s">
        <v>514</v>
      </c>
      <c r="C25" s="649"/>
      <c r="D25" s="649"/>
      <c r="E25" s="649"/>
      <c r="F25" s="649"/>
      <c r="G25" s="649"/>
      <c r="H25" s="649"/>
      <c r="I25" s="650"/>
      <c r="J25" s="59">
        <v>1333.2</v>
      </c>
      <c r="K25" s="59">
        <v>1333.18</v>
      </c>
      <c r="L25" s="58">
        <f>K25/J25*100</f>
        <v>99.998499849984995</v>
      </c>
      <c r="M25" s="61">
        <f>H26</f>
        <v>1</v>
      </c>
      <c r="N25" s="141"/>
      <c r="O25" s="141"/>
    </row>
    <row r="26" spans="1:15" s="2" customFormat="1" ht="51.75">
      <c r="A26" s="22"/>
      <c r="B26" s="138" t="s">
        <v>515</v>
      </c>
      <c r="C26" s="158" t="s">
        <v>0</v>
      </c>
      <c r="D26" s="350">
        <v>0.11</v>
      </c>
      <c r="E26" s="141">
        <v>99.6</v>
      </c>
      <c r="F26" s="142">
        <v>100</v>
      </c>
      <c r="G26" s="142">
        <v>100</v>
      </c>
      <c r="H26" s="351">
        <f>G26/F26</f>
        <v>1</v>
      </c>
      <c r="I26" s="143">
        <f>H26*D26</f>
        <v>0.11</v>
      </c>
      <c r="J26" s="141"/>
      <c r="K26" s="141"/>
      <c r="L26" s="141"/>
      <c r="M26" s="141"/>
      <c r="N26" s="141"/>
      <c r="O26" s="141"/>
    </row>
    <row r="27" spans="1:15" s="2" customFormat="1" ht="24.75" customHeight="1">
      <c r="A27" s="22"/>
      <c r="B27" s="648" t="s">
        <v>516</v>
      </c>
      <c r="C27" s="649"/>
      <c r="D27" s="649"/>
      <c r="E27" s="649"/>
      <c r="F27" s="649"/>
      <c r="G27" s="649"/>
      <c r="H27" s="649"/>
      <c r="I27" s="650"/>
      <c r="J27" s="59">
        <v>36085.199999999997</v>
      </c>
      <c r="K27" s="59">
        <v>36043.24</v>
      </c>
      <c r="L27" s="58">
        <f>K27/J27*100</f>
        <v>99.883719641293396</v>
      </c>
      <c r="M27" s="61">
        <f>H28</f>
        <v>0.4</v>
      </c>
      <c r="N27" s="141"/>
      <c r="O27" s="141"/>
    </row>
    <row r="28" spans="1:15" ht="54" customHeight="1">
      <c r="A28" s="445"/>
      <c r="B28" s="446" t="s">
        <v>517</v>
      </c>
      <c r="C28" s="445" t="s">
        <v>430</v>
      </c>
      <c r="D28" s="350">
        <v>0.11</v>
      </c>
      <c r="E28" s="447">
        <v>13</v>
      </c>
      <c r="F28" s="448">
        <v>20</v>
      </c>
      <c r="G28" s="448">
        <v>8</v>
      </c>
      <c r="H28" s="449">
        <f>G28/F28</f>
        <v>0.4</v>
      </c>
      <c r="I28" s="445">
        <f>H28*D28</f>
        <v>4.4000000000000004E-2</v>
      </c>
      <c r="J28" s="445"/>
      <c r="K28" s="445"/>
      <c r="L28" s="445"/>
      <c r="M28" s="445"/>
      <c r="N28" s="25"/>
      <c r="O28" s="25"/>
    </row>
    <row r="29" spans="1:15" ht="43.5" customHeight="1">
      <c r="A29" s="25"/>
      <c r="B29" s="646" t="s">
        <v>540</v>
      </c>
      <c r="C29" s="647"/>
      <c r="D29" s="647"/>
      <c r="E29" s="647"/>
      <c r="F29" s="647"/>
      <c r="G29" s="647"/>
      <c r="H29" s="647"/>
      <c r="I29" s="647"/>
      <c r="J29" s="451">
        <v>121.2</v>
      </c>
      <c r="K29" s="451">
        <v>121.2</v>
      </c>
      <c r="L29" s="451">
        <f>K29/J29*100</f>
        <v>100</v>
      </c>
      <c r="M29" s="509">
        <f>H30</f>
        <v>1</v>
      </c>
    </row>
    <row r="30" spans="1:15" ht="51.75">
      <c r="A30" s="25"/>
      <c r="B30" s="138" t="s">
        <v>644</v>
      </c>
      <c r="C30" s="138" t="s">
        <v>541</v>
      </c>
      <c r="D30" s="22">
        <v>0.09</v>
      </c>
      <c r="E30" s="22">
        <v>2</v>
      </c>
      <c r="F30" s="450">
        <v>3</v>
      </c>
      <c r="G30" s="450">
        <v>3</v>
      </c>
      <c r="H30" s="77">
        <f>G30/F30</f>
        <v>1</v>
      </c>
      <c r="I30" s="22">
        <f>H30*D30</f>
        <v>0.09</v>
      </c>
      <c r="J30" s="22"/>
      <c r="K30" s="22"/>
      <c r="L30" s="22"/>
      <c r="M30" s="22"/>
    </row>
    <row r="31" spans="1:15">
      <c r="D31" s="2">
        <f>SUM(D14:D15,D18:D19,D22:D23,B17,D26,D28)+D30</f>
        <v>0.99999999999999989</v>
      </c>
    </row>
  </sheetData>
  <mergeCells count="31">
    <mergeCell ref="B29:I29"/>
    <mergeCell ref="B25:I25"/>
    <mergeCell ref="B24:O24"/>
    <mergeCell ref="B27:I27"/>
    <mergeCell ref="A2:A5"/>
    <mergeCell ref="B2:B5"/>
    <mergeCell ref="C2:C5"/>
    <mergeCell ref="D2:D5"/>
    <mergeCell ref="E2:I2"/>
    <mergeCell ref="E3:E5"/>
    <mergeCell ref="F3:I3"/>
    <mergeCell ref="F4:F5"/>
    <mergeCell ref="G4:G5"/>
    <mergeCell ref="H4:H5"/>
    <mergeCell ref="I4:I5"/>
    <mergeCell ref="J4:J5"/>
    <mergeCell ref="K4:K5"/>
    <mergeCell ref="L4:L5"/>
    <mergeCell ref="B1:O1"/>
    <mergeCell ref="J2:L2"/>
    <mergeCell ref="M2:M5"/>
    <mergeCell ref="N2:N5"/>
    <mergeCell ref="O2:O5"/>
    <mergeCell ref="J3:L3"/>
    <mergeCell ref="B7:O7"/>
    <mergeCell ref="B12:O12"/>
    <mergeCell ref="B16:O16"/>
    <mergeCell ref="B20:O20"/>
    <mergeCell ref="B21:I21"/>
    <mergeCell ref="B17:I17"/>
    <mergeCell ref="B13:I13"/>
  </mergeCells>
  <pageMargins left="0.7" right="0.7" top="0.75" bottom="0.75" header="0.3" footer="0.3"/>
  <pageSetup paperSize="9" scale="4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view="pageBreakPreview" zoomScaleNormal="100" zoomScaleSheetLayoutView="100" workbookViewId="0">
      <pane ySplit="7" topLeftCell="A8" activePane="bottomLeft" state="frozen"/>
      <selection pane="bottomLeft" activeCell="H15" sqref="H15"/>
    </sheetView>
  </sheetViews>
  <sheetFormatPr defaultRowHeight="15"/>
  <cols>
    <col min="1" max="1" width="6.28515625" customWidth="1"/>
    <col min="2" max="2" width="46.140625" customWidth="1"/>
    <col min="4" max="4" width="9.140625" style="2"/>
    <col min="6" max="7" width="9.140625" style="42"/>
    <col min="8" max="8" width="20.42578125" customWidth="1"/>
    <col min="9" max="9" width="11" style="2" customWidth="1"/>
    <col min="10" max="10" width="9.85546875" style="2" customWidth="1"/>
    <col min="11" max="12" width="9.28515625" style="2" customWidth="1"/>
    <col min="13" max="13" width="13.42578125" style="2" customWidth="1"/>
    <col min="14" max="14" width="15.5703125" style="2" customWidth="1"/>
    <col min="15" max="15" width="14.85546875" style="2" customWidth="1"/>
  </cols>
  <sheetData>
    <row r="1" spans="1:15" s="2" customFormat="1">
      <c r="F1" s="42"/>
      <c r="G1" s="42"/>
    </row>
    <row r="2" spans="1:15" s="2" customFormat="1" ht="15.75" customHeight="1">
      <c r="A2" s="652" t="s">
        <v>575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4"/>
    </row>
    <row r="3" spans="1:15">
      <c r="A3" s="655"/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7"/>
    </row>
    <row r="4" spans="1:15" s="2" customFormat="1" ht="28.5" customHeight="1">
      <c r="A4" s="516" t="s">
        <v>1</v>
      </c>
      <c r="B4" s="516" t="s">
        <v>2</v>
      </c>
      <c r="C4" s="516" t="s">
        <v>3</v>
      </c>
      <c r="D4" s="516" t="s">
        <v>405</v>
      </c>
      <c r="E4" s="658" t="s">
        <v>108</v>
      </c>
      <c r="F4" s="659"/>
      <c r="G4" s="659"/>
      <c r="H4" s="659"/>
      <c r="I4" s="660"/>
      <c r="J4" s="661" t="s">
        <v>107</v>
      </c>
      <c r="K4" s="661"/>
      <c r="L4" s="661"/>
      <c r="M4" s="518" t="s">
        <v>399</v>
      </c>
      <c r="N4" s="518" t="s">
        <v>402</v>
      </c>
      <c r="O4" s="518" t="s">
        <v>414</v>
      </c>
    </row>
    <row r="5" spans="1:15" ht="16.5" customHeight="1">
      <c r="A5" s="516"/>
      <c r="B5" s="516"/>
      <c r="C5" s="516"/>
      <c r="D5" s="516"/>
      <c r="E5" s="518" t="s">
        <v>589</v>
      </c>
      <c r="F5" s="540" t="s">
        <v>588</v>
      </c>
      <c r="G5" s="541"/>
      <c r="H5" s="541"/>
      <c r="I5" s="542"/>
      <c r="J5" s="516" t="s">
        <v>590</v>
      </c>
      <c r="K5" s="516"/>
      <c r="L5" s="516"/>
      <c r="M5" s="539"/>
      <c r="N5" s="539"/>
      <c r="O5" s="539"/>
    </row>
    <row r="6" spans="1:15" ht="30" customHeight="1">
      <c r="A6" s="516"/>
      <c r="B6" s="516"/>
      <c r="C6" s="516"/>
      <c r="D6" s="516"/>
      <c r="E6" s="539"/>
      <c r="F6" s="543" t="s">
        <v>4</v>
      </c>
      <c r="G6" s="543" t="s">
        <v>5</v>
      </c>
      <c r="H6" s="516" t="s">
        <v>400</v>
      </c>
      <c r="I6" s="518" t="s">
        <v>401</v>
      </c>
      <c r="J6" s="516" t="s">
        <v>4</v>
      </c>
      <c r="K6" s="516" t="s">
        <v>5</v>
      </c>
      <c r="L6" s="516" t="s">
        <v>6</v>
      </c>
      <c r="M6" s="539"/>
      <c r="N6" s="539"/>
      <c r="O6" s="539"/>
    </row>
    <row r="7" spans="1:15" ht="42" customHeight="1">
      <c r="A7" s="516"/>
      <c r="B7" s="516"/>
      <c r="C7" s="516"/>
      <c r="D7" s="516"/>
      <c r="E7" s="519"/>
      <c r="F7" s="543"/>
      <c r="G7" s="543"/>
      <c r="H7" s="516"/>
      <c r="I7" s="519"/>
      <c r="J7" s="516"/>
      <c r="K7" s="516"/>
      <c r="L7" s="516"/>
      <c r="M7" s="519"/>
      <c r="N7" s="519"/>
      <c r="O7" s="519"/>
    </row>
    <row r="8" spans="1:15" s="2" customFormat="1" ht="35.25" customHeight="1">
      <c r="A8" s="1"/>
      <c r="B8" s="584" t="s">
        <v>32</v>
      </c>
      <c r="C8" s="585"/>
      <c r="D8" s="585"/>
      <c r="E8" s="585"/>
      <c r="F8" s="585"/>
      <c r="G8" s="585"/>
      <c r="H8" s="585"/>
      <c r="I8" s="586"/>
      <c r="J8" s="178">
        <v>315</v>
      </c>
      <c r="K8" s="178">
        <v>277.18</v>
      </c>
      <c r="L8" s="180">
        <f>K8/J8*100</f>
        <v>87.993650793650787</v>
      </c>
      <c r="M8" s="428">
        <f>AVERAGE(H10:H15)</f>
        <v>0.83333333333333337</v>
      </c>
      <c r="N8" s="428">
        <f>SUM(I17,I19,I20,I22,I23,I25)</f>
        <v>1</v>
      </c>
      <c r="O8" s="428">
        <f>AVERAGE(H17,H19,H20,H22,H23,H25)</f>
        <v>1</v>
      </c>
    </row>
    <row r="9" spans="1:15" ht="18" customHeight="1">
      <c r="A9" s="3"/>
      <c r="B9" s="580" t="s">
        <v>7</v>
      </c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2"/>
    </row>
    <row r="10" spans="1:15" ht="26.25">
      <c r="A10" s="4">
        <v>1</v>
      </c>
      <c r="B10" s="5" t="s">
        <v>8</v>
      </c>
      <c r="C10" s="313" t="s">
        <v>9</v>
      </c>
      <c r="D10" s="91" t="s">
        <v>31</v>
      </c>
      <c r="E10" s="5">
        <v>0</v>
      </c>
      <c r="F10" s="87">
        <v>0</v>
      </c>
      <c r="G10" s="87">
        <v>0</v>
      </c>
      <c r="H10" s="17">
        <v>1</v>
      </c>
      <c r="I10" s="91" t="s">
        <v>133</v>
      </c>
      <c r="J10" s="91" t="s">
        <v>133</v>
      </c>
      <c r="K10" s="91" t="s">
        <v>133</v>
      </c>
      <c r="L10" s="91" t="s">
        <v>133</v>
      </c>
      <c r="M10" s="91" t="s">
        <v>133</v>
      </c>
      <c r="N10" s="91" t="s">
        <v>133</v>
      </c>
      <c r="O10" s="91" t="s">
        <v>133</v>
      </c>
    </row>
    <row r="11" spans="1:15" ht="39">
      <c r="A11" s="4">
        <v>2</v>
      </c>
      <c r="B11" s="5" t="s">
        <v>10</v>
      </c>
      <c r="C11" s="313" t="s">
        <v>9</v>
      </c>
      <c r="D11" s="91" t="s">
        <v>31</v>
      </c>
      <c r="E11" s="5">
        <v>0</v>
      </c>
      <c r="F11" s="87">
        <v>0</v>
      </c>
      <c r="G11" s="87">
        <v>0</v>
      </c>
      <c r="H11" s="17">
        <v>1</v>
      </c>
      <c r="I11" s="91" t="s">
        <v>133</v>
      </c>
      <c r="J11" s="91" t="s">
        <v>133</v>
      </c>
      <c r="K11" s="91" t="s">
        <v>133</v>
      </c>
      <c r="L11" s="91" t="s">
        <v>133</v>
      </c>
      <c r="M11" s="91" t="s">
        <v>133</v>
      </c>
      <c r="N11" s="91" t="s">
        <v>133</v>
      </c>
      <c r="O11" s="91" t="s">
        <v>133</v>
      </c>
    </row>
    <row r="12" spans="1:15" ht="51.75">
      <c r="A12" s="4">
        <v>3</v>
      </c>
      <c r="B12" s="5" t="s">
        <v>320</v>
      </c>
      <c r="C12" s="313" t="s">
        <v>9</v>
      </c>
      <c r="D12" s="91" t="s">
        <v>31</v>
      </c>
      <c r="E12" s="5">
        <v>0</v>
      </c>
      <c r="F12" s="87">
        <v>0</v>
      </c>
      <c r="G12" s="87">
        <v>0</v>
      </c>
      <c r="H12" s="17">
        <v>1</v>
      </c>
      <c r="I12" s="91" t="s">
        <v>133</v>
      </c>
      <c r="J12" s="91" t="s">
        <v>133</v>
      </c>
      <c r="K12" s="91" t="s">
        <v>133</v>
      </c>
      <c r="L12" s="91" t="s">
        <v>133</v>
      </c>
      <c r="M12" s="91" t="s">
        <v>133</v>
      </c>
      <c r="N12" s="91" t="s">
        <v>133</v>
      </c>
      <c r="O12" s="91" t="s">
        <v>133</v>
      </c>
    </row>
    <row r="13" spans="1:15" ht="38.25">
      <c r="A13" s="4">
        <v>4</v>
      </c>
      <c r="B13" s="7" t="s">
        <v>11</v>
      </c>
      <c r="C13" s="8" t="s">
        <v>0</v>
      </c>
      <c r="D13" s="91" t="s">
        <v>31</v>
      </c>
      <c r="E13" s="5">
        <v>100</v>
      </c>
      <c r="F13" s="87">
        <v>100</v>
      </c>
      <c r="G13" s="87">
        <v>100</v>
      </c>
      <c r="H13" s="17">
        <v>1</v>
      </c>
      <c r="I13" s="91" t="s">
        <v>133</v>
      </c>
      <c r="J13" s="91" t="s">
        <v>133</v>
      </c>
      <c r="K13" s="91" t="s">
        <v>133</v>
      </c>
      <c r="L13" s="91" t="s">
        <v>133</v>
      </c>
      <c r="M13" s="91" t="s">
        <v>133</v>
      </c>
      <c r="N13" s="91" t="s">
        <v>133</v>
      </c>
      <c r="O13" s="91" t="s">
        <v>133</v>
      </c>
    </row>
    <row r="14" spans="1:15" ht="38.25">
      <c r="A14" s="4">
        <v>5</v>
      </c>
      <c r="B14" s="7" t="s">
        <v>12</v>
      </c>
      <c r="C14" s="8" t="s">
        <v>13</v>
      </c>
      <c r="D14" s="91" t="s">
        <v>31</v>
      </c>
      <c r="E14" s="5">
        <v>0</v>
      </c>
      <c r="F14" s="87">
        <v>6</v>
      </c>
      <c r="G14" s="87">
        <v>0</v>
      </c>
      <c r="H14" s="17">
        <v>0</v>
      </c>
      <c r="I14" s="91" t="s">
        <v>133</v>
      </c>
      <c r="J14" s="91" t="s">
        <v>133</v>
      </c>
      <c r="K14" s="91" t="s">
        <v>133</v>
      </c>
      <c r="L14" s="91" t="s">
        <v>133</v>
      </c>
      <c r="M14" s="91" t="s">
        <v>133</v>
      </c>
      <c r="N14" s="91" t="s">
        <v>133</v>
      </c>
      <c r="O14" s="91" t="s">
        <v>133</v>
      </c>
    </row>
    <row r="15" spans="1:15" ht="51">
      <c r="A15" s="4">
        <v>6</v>
      </c>
      <c r="B15" s="9" t="s">
        <v>14</v>
      </c>
      <c r="C15" s="8" t="s">
        <v>0</v>
      </c>
      <c r="D15" s="91" t="s">
        <v>31</v>
      </c>
      <c r="E15" s="5">
        <v>0</v>
      </c>
      <c r="F15" s="87">
        <v>4</v>
      </c>
      <c r="G15" s="87">
        <v>0</v>
      </c>
      <c r="H15" s="17">
        <v>1</v>
      </c>
      <c r="I15" s="91" t="s">
        <v>133</v>
      </c>
      <c r="J15" s="91" t="s">
        <v>133</v>
      </c>
      <c r="K15" s="91" t="s">
        <v>133</v>
      </c>
      <c r="L15" s="91" t="s">
        <v>133</v>
      </c>
      <c r="M15" s="91" t="s">
        <v>133</v>
      </c>
      <c r="N15" s="91" t="s">
        <v>133</v>
      </c>
      <c r="O15" s="91" t="s">
        <v>133</v>
      </c>
    </row>
    <row r="16" spans="1:15" ht="15" customHeight="1">
      <c r="A16" s="3"/>
      <c r="B16" s="665" t="s">
        <v>15</v>
      </c>
      <c r="C16" s="666"/>
      <c r="D16" s="666"/>
      <c r="E16" s="666"/>
      <c r="F16" s="666"/>
      <c r="G16" s="666"/>
      <c r="H16" s="666"/>
      <c r="I16" s="666"/>
      <c r="J16" s="666"/>
      <c r="K16" s="666"/>
      <c r="L16" s="666"/>
      <c r="M16" s="666"/>
      <c r="N16" s="666"/>
      <c r="O16" s="667"/>
    </row>
    <row r="17" spans="1:15" ht="38.25">
      <c r="A17" s="10" t="s">
        <v>16</v>
      </c>
      <c r="B17" s="11" t="s">
        <v>17</v>
      </c>
      <c r="C17" s="8" t="s">
        <v>0</v>
      </c>
      <c r="D17" s="15">
        <v>0.2</v>
      </c>
      <c r="E17" s="5">
        <v>100</v>
      </c>
      <c r="F17" s="88">
        <v>100</v>
      </c>
      <c r="G17" s="88">
        <v>100</v>
      </c>
      <c r="H17" s="17">
        <v>1</v>
      </c>
      <c r="I17" s="15">
        <f>D17*H17</f>
        <v>0.2</v>
      </c>
      <c r="J17" s="91" t="s">
        <v>133</v>
      </c>
      <c r="K17" s="91" t="s">
        <v>133</v>
      </c>
      <c r="L17" s="91" t="s">
        <v>133</v>
      </c>
      <c r="M17" s="91" t="s">
        <v>133</v>
      </c>
      <c r="N17" s="91" t="s">
        <v>133</v>
      </c>
      <c r="O17" s="91" t="s">
        <v>133</v>
      </c>
    </row>
    <row r="18" spans="1:15" ht="18.75" customHeight="1">
      <c r="A18" s="3"/>
      <c r="B18" s="665" t="s">
        <v>18</v>
      </c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6"/>
      <c r="N18" s="666"/>
      <c r="O18" s="667"/>
    </row>
    <row r="19" spans="1:15" ht="26.25">
      <c r="A19" s="12" t="s">
        <v>19</v>
      </c>
      <c r="B19" s="6" t="s">
        <v>20</v>
      </c>
      <c r="C19" s="8" t="s">
        <v>13</v>
      </c>
      <c r="D19" s="17">
        <v>0.2</v>
      </c>
      <c r="E19" s="15">
        <v>1042</v>
      </c>
      <c r="F19" s="84">
        <v>2989</v>
      </c>
      <c r="G19" s="84">
        <v>2989</v>
      </c>
      <c r="H19" s="17">
        <f>G19/F19</f>
        <v>1</v>
      </c>
      <c r="I19" s="17">
        <f>H19*D19</f>
        <v>0.2</v>
      </c>
      <c r="J19" s="92" t="s">
        <v>133</v>
      </c>
      <c r="K19" s="92" t="s">
        <v>133</v>
      </c>
      <c r="L19" s="92" t="s">
        <v>133</v>
      </c>
      <c r="M19" s="92" t="s">
        <v>133</v>
      </c>
      <c r="N19" s="92" t="s">
        <v>133</v>
      </c>
      <c r="O19" s="92" t="s">
        <v>133</v>
      </c>
    </row>
    <row r="20" spans="1:15" ht="89.25" customHeight="1">
      <c r="A20" s="14" t="s">
        <v>21</v>
      </c>
      <c r="B20" s="13" t="s">
        <v>22</v>
      </c>
      <c r="C20" s="8" t="s">
        <v>0</v>
      </c>
      <c r="D20" s="15">
        <v>0.2</v>
      </c>
      <c r="E20" s="16">
        <v>100</v>
      </c>
      <c r="F20" s="79">
        <v>100</v>
      </c>
      <c r="G20" s="79">
        <v>100</v>
      </c>
      <c r="H20" s="17">
        <f>G20/F20</f>
        <v>1</v>
      </c>
      <c r="I20" s="17">
        <f>H20*D20</f>
        <v>0.2</v>
      </c>
      <c r="J20" s="91" t="s">
        <v>133</v>
      </c>
      <c r="K20" s="91" t="s">
        <v>133</v>
      </c>
      <c r="L20" s="91" t="s">
        <v>133</v>
      </c>
      <c r="M20" s="91" t="s">
        <v>133</v>
      </c>
      <c r="N20" s="91" t="s">
        <v>133</v>
      </c>
      <c r="O20" s="91" t="s">
        <v>133</v>
      </c>
    </row>
    <row r="21" spans="1:15" ht="15" customHeight="1">
      <c r="A21" s="3"/>
      <c r="B21" s="668" t="s">
        <v>30</v>
      </c>
      <c r="C21" s="669"/>
      <c r="D21" s="669"/>
      <c r="E21" s="669"/>
      <c r="F21" s="669"/>
      <c r="G21" s="669"/>
      <c r="H21" s="669"/>
      <c r="I21" s="669"/>
      <c r="J21" s="669"/>
      <c r="K21" s="669"/>
      <c r="L21" s="669"/>
      <c r="M21" s="669"/>
      <c r="N21" s="669"/>
      <c r="O21" s="670"/>
    </row>
    <row r="22" spans="1:15" ht="38.25">
      <c r="A22" s="12" t="s">
        <v>23</v>
      </c>
      <c r="B22" s="7" t="s">
        <v>321</v>
      </c>
      <c r="C22" s="8" t="s">
        <v>0</v>
      </c>
      <c r="D22" s="15">
        <v>0.2</v>
      </c>
      <c r="E22" s="15">
        <v>0</v>
      </c>
      <c r="F22" s="84">
        <v>100</v>
      </c>
      <c r="G22" s="79">
        <v>100</v>
      </c>
      <c r="H22" s="17">
        <v>1</v>
      </c>
      <c r="I22" s="15">
        <f>H22*D22</f>
        <v>0.2</v>
      </c>
      <c r="J22" s="91" t="s">
        <v>133</v>
      </c>
      <c r="K22" s="91" t="s">
        <v>133</v>
      </c>
      <c r="L22" s="91" t="s">
        <v>133</v>
      </c>
      <c r="M22" s="91" t="s">
        <v>133</v>
      </c>
      <c r="N22" s="91" t="s">
        <v>133</v>
      </c>
      <c r="O22" s="91" t="s">
        <v>133</v>
      </c>
    </row>
    <row r="23" spans="1:15" ht="33" customHeight="1">
      <c r="A23" s="12" t="s">
        <v>24</v>
      </c>
      <c r="B23" s="7" t="s">
        <v>25</v>
      </c>
      <c r="C23" s="8" t="s">
        <v>26</v>
      </c>
      <c r="D23" s="15">
        <v>0.1</v>
      </c>
      <c r="E23" s="15">
        <v>0</v>
      </c>
      <c r="F23" s="84">
        <v>1</v>
      </c>
      <c r="G23" s="84">
        <v>2</v>
      </c>
      <c r="H23" s="182">
        <v>1</v>
      </c>
      <c r="I23" s="15">
        <f>H23*D23</f>
        <v>0.1</v>
      </c>
      <c r="J23" s="91" t="s">
        <v>133</v>
      </c>
      <c r="K23" s="91" t="s">
        <v>133</v>
      </c>
      <c r="L23" s="91" t="s">
        <v>133</v>
      </c>
      <c r="M23" s="91" t="s">
        <v>133</v>
      </c>
      <c r="N23" s="91" t="s">
        <v>133</v>
      </c>
      <c r="O23" s="91" t="s">
        <v>133</v>
      </c>
    </row>
    <row r="24" spans="1:15" ht="15" customHeight="1">
      <c r="A24" s="3"/>
      <c r="B24" s="662" t="s">
        <v>27</v>
      </c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4"/>
    </row>
    <row r="25" spans="1:15" ht="25.5">
      <c r="A25" s="12" t="s">
        <v>28</v>
      </c>
      <c r="B25" s="7" t="s">
        <v>29</v>
      </c>
      <c r="C25" s="8" t="s">
        <v>13</v>
      </c>
      <c r="D25" s="15">
        <v>0.1</v>
      </c>
      <c r="E25" s="6">
        <v>0</v>
      </c>
      <c r="F25" s="88">
        <v>1</v>
      </c>
      <c r="G25" s="88">
        <v>1</v>
      </c>
      <c r="H25" s="15">
        <f>G25/F25</f>
        <v>1</v>
      </c>
      <c r="I25" s="15">
        <f>D25*H25</f>
        <v>0.1</v>
      </c>
      <c r="J25" s="91" t="s">
        <v>133</v>
      </c>
      <c r="K25" s="91" t="s">
        <v>133</v>
      </c>
      <c r="L25" s="91" t="s">
        <v>133</v>
      </c>
      <c r="M25" s="91" t="s">
        <v>133</v>
      </c>
      <c r="N25" s="91" t="s">
        <v>133</v>
      </c>
      <c r="O25" s="91" t="s">
        <v>133</v>
      </c>
    </row>
    <row r="26" spans="1:15">
      <c r="B26" s="109" t="s">
        <v>206</v>
      </c>
      <c r="D26" s="107">
        <f>SUM(D17,D19:D20,D22:D23,D25)</f>
        <v>1</v>
      </c>
    </row>
  </sheetData>
  <mergeCells count="26">
    <mergeCell ref="B24:O24"/>
    <mergeCell ref="F6:F7"/>
    <mergeCell ref="G6:G7"/>
    <mergeCell ref="H6:H7"/>
    <mergeCell ref="E5:E7"/>
    <mergeCell ref="B8:I8"/>
    <mergeCell ref="B9:O9"/>
    <mergeCell ref="B16:O16"/>
    <mergeCell ref="B18:O18"/>
    <mergeCell ref="B21:O21"/>
    <mergeCell ref="I6:I7"/>
    <mergeCell ref="J6:J7"/>
    <mergeCell ref="K6:K7"/>
    <mergeCell ref="M4:M7"/>
    <mergeCell ref="N4:N7"/>
    <mergeCell ref="A2:O3"/>
    <mergeCell ref="F5:I5"/>
    <mergeCell ref="E4:I4"/>
    <mergeCell ref="C4:C7"/>
    <mergeCell ref="D4:D7"/>
    <mergeCell ref="B4:B7"/>
    <mergeCell ref="A4:A7"/>
    <mergeCell ref="J4:L4"/>
    <mergeCell ref="J5:L5"/>
    <mergeCell ref="L6:L7"/>
    <mergeCell ref="O4:O7"/>
  </mergeCells>
  <pageMargins left="0.7" right="0.7" top="0.75" bottom="0.75" header="0.3" footer="0.3"/>
  <pageSetup paperSize="9" scale="4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Normal="100" zoomScaleSheetLayoutView="100" workbookViewId="0">
      <selection activeCell="M13" sqref="M13"/>
    </sheetView>
  </sheetViews>
  <sheetFormatPr defaultRowHeight="15"/>
  <cols>
    <col min="1" max="1" width="4.42578125" customWidth="1"/>
    <col min="2" max="2" width="45.7109375" customWidth="1"/>
    <col min="8" max="8" width="21.5703125" customWidth="1"/>
    <col min="9" max="9" width="10.28515625" bestFit="1" customWidth="1"/>
    <col min="10" max="10" width="12" customWidth="1"/>
    <col min="11" max="11" width="12.140625" customWidth="1"/>
    <col min="12" max="12" width="13.140625" bestFit="1" customWidth="1"/>
    <col min="13" max="13" width="16.140625" customWidth="1"/>
    <col min="14" max="14" width="12.7109375" customWidth="1"/>
    <col min="15" max="15" width="14.85546875" customWidth="1"/>
  </cols>
  <sheetData>
    <row r="1" spans="1:15" ht="18.75">
      <c r="A1" s="2"/>
      <c r="B1" s="634" t="s">
        <v>563</v>
      </c>
      <c r="C1" s="634"/>
      <c r="D1" s="634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</row>
    <row r="2" spans="1:15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414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59.25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 ht="33" customHeight="1">
      <c r="A6" s="25"/>
      <c r="B6" s="671" t="s">
        <v>275</v>
      </c>
      <c r="C6" s="672"/>
      <c r="D6" s="672"/>
      <c r="E6" s="672"/>
      <c r="F6" s="672"/>
      <c r="G6" s="672"/>
      <c r="H6" s="672"/>
      <c r="I6" s="673"/>
      <c r="J6" s="61">
        <v>80</v>
      </c>
      <c r="K6" s="61">
        <v>77.8</v>
      </c>
      <c r="L6" s="58">
        <f>K6/J6*100</f>
        <v>97.249999999999986</v>
      </c>
      <c r="M6" s="61">
        <f>AVERAGE(H13:H16,H18)</f>
        <v>1</v>
      </c>
      <c r="N6" s="61">
        <f>AVERAGE(H8:H11)</f>
        <v>1</v>
      </c>
      <c r="O6" s="61">
        <f>SUM(I13:I16,I18)</f>
        <v>1</v>
      </c>
    </row>
    <row r="7" spans="1:15" ht="15" customHeight="1">
      <c r="A7" s="306"/>
      <c r="B7" s="607" t="s">
        <v>463</v>
      </c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  <c r="O7" s="607"/>
    </row>
    <row r="8" spans="1:15" ht="25.5">
      <c r="A8" s="303">
        <v>1</v>
      </c>
      <c r="B8" s="279" t="s">
        <v>464</v>
      </c>
      <c r="C8" s="307" t="s">
        <v>13</v>
      </c>
      <c r="D8" s="158" t="s">
        <v>31</v>
      </c>
      <c r="E8" s="308">
        <v>4</v>
      </c>
      <c r="F8" s="84">
        <v>4</v>
      </c>
      <c r="G8" s="79">
        <v>4</v>
      </c>
      <c r="H8" s="309">
        <f>G8/F8</f>
        <v>1</v>
      </c>
      <c r="I8" s="158" t="s">
        <v>31</v>
      </c>
      <c r="J8" s="25"/>
      <c r="K8" s="25"/>
      <c r="L8" s="25"/>
      <c r="M8" s="25"/>
      <c r="N8" s="25"/>
      <c r="O8" s="25"/>
    </row>
    <row r="9" spans="1:15" ht="25.5">
      <c r="A9" s="303">
        <v>2</v>
      </c>
      <c r="B9" s="279" t="s">
        <v>465</v>
      </c>
      <c r="C9" s="307" t="s">
        <v>13</v>
      </c>
      <c r="D9" s="158" t="s">
        <v>31</v>
      </c>
      <c r="E9" s="308">
        <v>300</v>
      </c>
      <c r="F9" s="84">
        <v>300</v>
      </c>
      <c r="G9" s="84">
        <v>300</v>
      </c>
      <c r="H9" s="309">
        <f t="shared" ref="H9:H10" si="0">G9/F9</f>
        <v>1</v>
      </c>
      <c r="I9" s="158" t="s">
        <v>31</v>
      </c>
      <c r="J9" s="25"/>
      <c r="K9" s="25"/>
      <c r="L9" s="25"/>
      <c r="M9" s="25"/>
      <c r="N9" s="25"/>
      <c r="O9" s="25"/>
    </row>
    <row r="10" spans="1:15" ht="25.5">
      <c r="A10" s="303">
        <v>3</v>
      </c>
      <c r="B10" s="279" t="s">
        <v>466</v>
      </c>
      <c r="C10" s="307" t="s">
        <v>13</v>
      </c>
      <c r="D10" s="158" t="s">
        <v>31</v>
      </c>
      <c r="E10" s="308">
        <v>3</v>
      </c>
      <c r="F10" s="84">
        <v>3</v>
      </c>
      <c r="G10" s="84">
        <v>3</v>
      </c>
      <c r="H10" s="309">
        <f t="shared" si="0"/>
        <v>1</v>
      </c>
      <c r="I10" s="158" t="s">
        <v>31</v>
      </c>
      <c r="J10" s="25"/>
      <c r="K10" s="25"/>
      <c r="L10" s="25"/>
      <c r="M10" s="25"/>
      <c r="N10" s="25"/>
      <c r="O10" s="25"/>
    </row>
    <row r="11" spans="1:15" ht="25.5">
      <c r="A11" s="303">
        <v>4</v>
      </c>
      <c r="B11" s="279" t="s">
        <v>467</v>
      </c>
      <c r="C11" s="307" t="s">
        <v>13</v>
      </c>
      <c r="D11" s="315" t="s">
        <v>31</v>
      </c>
      <c r="E11" s="308">
        <v>0</v>
      </c>
      <c r="F11" s="84">
        <v>0</v>
      </c>
      <c r="G11" s="84">
        <v>0</v>
      </c>
      <c r="H11" s="309">
        <v>1</v>
      </c>
      <c r="I11" s="315" t="s">
        <v>31</v>
      </c>
      <c r="J11" s="25"/>
      <c r="K11" s="25"/>
      <c r="L11" s="25"/>
      <c r="M11" s="25"/>
      <c r="N11" s="25"/>
      <c r="O11" s="25"/>
    </row>
    <row r="12" spans="1:15" ht="15" customHeight="1">
      <c r="A12" s="303"/>
      <c r="B12" s="674" t="s">
        <v>468</v>
      </c>
      <c r="C12" s="674"/>
      <c r="D12" s="674"/>
      <c r="E12" s="674"/>
      <c r="F12" s="674"/>
      <c r="G12" s="674"/>
      <c r="H12" s="674"/>
      <c r="I12" s="674"/>
      <c r="J12" s="674"/>
      <c r="K12" s="674"/>
      <c r="L12" s="674"/>
      <c r="M12" s="674"/>
      <c r="N12" s="674"/>
      <c r="O12" s="674"/>
    </row>
    <row r="13" spans="1:15" ht="38.25">
      <c r="A13" s="310" t="s">
        <v>59</v>
      </c>
      <c r="B13" s="279" t="s">
        <v>469</v>
      </c>
      <c r="C13" s="355" t="s">
        <v>13</v>
      </c>
      <c r="D13" s="22">
        <v>0.2</v>
      </c>
      <c r="E13" s="308">
        <v>2</v>
      </c>
      <c r="F13" s="84">
        <v>2</v>
      </c>
      <c r="G13" s="84">
        <v>2</v>
      </c>
      <c r="H13" s="309">
        <f>G13/F13</f>
        <v>1</v>
      </c>
      <c r="I13" s="141">
        <f>H13*D13</f>
        <v>0.2</v>
      </c>
      <c r="J13" s="141"/>
      <c r="K13" s="141"/>
      <c r="L13" s="141"/>
      <c r="M13" s="141"/>
      <c r="N13" s="141"/>
      <c r="O13" s="141"/>
    </row>
    <row r="14" spans="1:15" ht="63.75">
      <c r="A14" s="310" t="s">
        <v>60</v>
      </c>
      <c r="B14" s="279" t="s">
        <v>470</v>
      </c>
      <c r="C14" s="355" t="s">
        <v>471</v>
      </c>
      <c r="D14" s="22">
        <v>0.2</v>
      </c>
      <c r="E14" s="308">
        <v>4</v>
      </c>
      <c r="F14" s="84">
        <v>4</v>
      </c>
      <c r="G14" s="84">
        <v>4</v>
      </c>
      <c r="H14" s="309">
        <f t="shared" ref="H14:H16" si="1">G14/F14</f>
        <v>1</v>
      </c>
      <c r="I14" s="141">
        <f t="shared" ref="I14:I16" si="2">H14*D14</f>
        <v>0.2</v>
      </c>
      <c r="J14" s="141"/>
      <c r="K14" s="141"/>
      <c r="L14" s="141"/>
      <c r="M14" s="141"/>
      <c r="N14" s="141"/>
      <c r="O14" s="141"/>
    </row>
    <row r="15" spans="1:15" ht="25.5">
      <c r="A15" s="310" t="s">
        <v>62</v>
      </c>
      <c r="B15" s="279" t="s">
        <v>472</v>
      </c>
      <c r="C15" s="355" t="s">
        <v>13</v>
      </c>
      <c r="D15" s="22">
        <v>0.2</v>
      </c>
      <c r="E15" s="308">
        <v>4</v>
      </c>
      <c r="F15" s="84">
        <v>4</v>
      </c>
      <c r="G15" s="84">
        <v>4</v>
      </c>
      <c r="H15" s="309">
        <f t="shared" si="1"/>
        <v>1</v>
      </c>
      <c r="I15" s="141">
        <f t="shared" si="2"/>
        <v>0.2</v>
      </c>
      <c r="J15" s="141"/>
      <c r="K15" s="141"/>
      <c r="L15" s="141"/>
      <c r="M15" s="141"/>
      <c r="N15" s="141"/>
      <c r="O15" s="141"/>
    </row>
    <row r="16" spans="1:15" ht="38.25">
      <c r="A16" s="310" t="s">
        <v>64</v>
      </c>
      <c r="B16" s="279" t="s">
        <v>473</v>
      </c>
      <c r="C16" s="355" t="s">
        <v>13</v>
      </c>
      <c r="D16" s="22">
        <v>0.2</v>
      </c>
      <c r="E16" s="308">
        <v>300</v>
      </c>
      <c r="F16" s="84">
        <v>300</v>
      </c>
      <c r="G16" s="84">
        <v>300</v>
      </c>
      <c r="H16" s="309">
        <f t="shared" si="1"/>
        <v>1</v>
      </c>
      <c r="I16" s="141">
        <f t="shared" si="2"/>
        <v>0.2</v>
      </c>
      <c r="J16" s="141"/>
      <c r="K16" s="141"/>
      <c r="L16" s="141"/>
      <c r="M16" s="141"/>
      <c r="N16" s="141"/>
      <c r="O16" s="141"/>
    </row>
    <row r="17" spans="1:15" ht="15" customHeight="1">
      <c r="A17" s="303"/>
      <c r="B17" s="607" t="s">
        <v>474</v>
      </c>
      <c r="C17" s="607"/>
      <c r="D17" s="607"/>
      <c r="E17" s="607"/>
      <c r="F17" s="607"/>
      <c r="G17" s="607"/>
      <c r="H17" s="607"/>
      <c r="I17" s="607"/>
      <c r="J17" s="607"/>
      <c r="K17" s="607"/>
      <c r="L17" s="607"/>
      <c r="M17" s="607"/>
      <c r="N17" s="607"/>
      <c r="O17" s="607"/>
    </row>
    <row r="18" spans="1:15" ht="51">
      <c r="A18" s="303" t="s">
        <v>96</v>
      </c>
      <c r="B18" s="279" t="s">
        <v>475</v>
      </c>
      <c r="C18" s="355" t="s">
        <v>13</v>
      </c>
      <c r="D18" s="22">
        <v>0.2</v>
      </c>
      <c r="E18" s="311">
        <v>2</v>
      </c>
      <c r="F18" s="79">
        <v>2</v>
      </c>
      <c r="G18" s="79">
        <v>2</v>
      </c>
      <c r="H18" s="309">
        <f>G18/F18</f>
        <v>1</v>
      </c>
      <c r="I18" s="141">
        <f>H18*D18</f>
        <v>0.2</v>
      </c>
      <c r="J18" s="141"/>
      <c r="K18" s="141"/>
      <c r="L18" s="141"/>
      <c r="M18" s="141"/>
      <c r="N18" s="141"/>
      <c r="O18" s="141"/>
    </row>
    <row r="19" spans="1:15">
      <c r="D19">
        <f>D13+D14+D15+D16+D18</f>
        <v>1</v>
      </c>
    </row>
  </sheetData>
  <mergeCells count="24">
    <mergeCell ref="A2:A5"/>
    <mergeCell ref="B2:B5"/>
    <mergeCell ref="C2:C5"/>
    <mergeCell ref="D2:D5"/>
    <mergeCell ref="E2:I2"/>
    <mergeCell ref="E3:E5"/>
    <mergeCell ref="F3:I3"/>
    <mergeCell ref="F4:F5"/>
    <mergeCell ref="G4:G5"/>
    <mergeCell ref="H4:H5"/>
    <mergeCell ref="I4:I5"/>
    <mergeCell ref="B1:O1"/>
    <mergeCell ref="J2:L2"/>
    <mergeCell ref="M2:M5"/>
    <mergeCell ref="N2:N5"/>
    <mergeCell ref="O2:O5"/>
    <mergeCell ref="J3:L3"/>
    <mergeCell ref="B6:I6"/>
    <mergeCell ref="B7:O7"/>
    <mergeCell ref="B12:O12"/>
    <mergeCell ref="B17:O17"/>
    <mergeCell ref="J4:J5"/>
    <mergeCell ref="K4:K5"/>
    <mergeCell ref="L4:L5"/>
  </mergeCells>
  <pageMargins left="0.7" right="0.7" top="0.75" bottom="0.75" header="0.3" footer="0.3"/>
  <pageSetup paperSize="9" scale="4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view="pageBreakPreview" zoomScaleNormal="100" zoomScaleSheetLayoutView="100" workbookViewId="0">
      <selection activeCell="B7" sqref="B7:O7"/>
    </sheetView>
  </sheetViews>
  <sheetFormatPr defaultRowHeight="15"/>
  <cols>
    <col min="1" max="1" width="4.42578125" style="2" customWidth="1"/>
    <col min="2" max="2" width="45.7109375" style="2" customWidth="1"/>
    <col min="3" max="7" width="9.140625" style="2"/>
    <col min="8" max="8" width="21.5703125" style="2" customWidth="1"/>
    <col min="9" max="9" width="10.28515625" style="2" bestFit="1" customWidth="1"/>
    <col min="10" max="10" width="12" style="2" customWidth="1"/>
    <col min="11" max="11" width="12.140625" style="2" customWidth="1"/>
    <col min="12" max="12" width="13.140625" style="2" bestFit="1" customWidth="1"/>
    <col min="13" max="13" width="16.140625" style="2" customWidth="1"/>
    <col min="14" max="14" width="12.7109375" style="2" customWidth="1"/>
    <col min="15" max="15" width="14.85546875" style="2" customWidth="1"/>
    <col min="16" max="16384" width="9.140625" style="2"/>
  </cols>
  <sheetData>
    <row r="1" spans="1:15" ht="18.75">
      <c r="B1" s="634" t="s">
        <v>551</v>
      </c>
      <c r="C1" s="634"/>
      <c r="D1" s="634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</row>
    <row r="2" spans="1:15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414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40" t="s">
        <v>590</v>
      </c>
      <c r="K3" s="541"/>
      <c r="L3" s="542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20" t="s">
        <v>4</v>
      </c>
      <c r="G4" s="520" t="s">
        <v>5</v>
      </c>
      <c r="H4" s="518" t="s">
        <v>400</v>
      </c>
      <c r="I4" s="518" t="s">
        <v>401</v>
      </c>
      <c r="J4" s="518" t="s">
        <v>4</v>
      </c>
      <c r="K4" s="518" t="s">
        <v>5</v>
      </c>
      <c r="L4" s="518" t="s">
        <v>6</v>
      </c>
      <c r="M4" s="534"/>
      <c r="N4" s="539"/>
      <c r="O4" s="539"/>
    </row>
    <row r="5" spans="1:15" ht="59.25" customHeight="1">
      <c r="A5" s="519"/>
      <c r="B5" s="519"/>
      <c r="C5" s="519"/>
      <c r="D5" s="519"/>
      <c r="E5" s="519"/>
      <c r="F5" s="521"/>
      <c r="G5" s="521"/>
      <c r="H5" s="519"/>
      <c r="I5" s="519"/>
      <c r="J5" s="519"/>
      <c r="K5" s="519"/>
      <c r="L5" s="519"/>
      <c r="M5" s="535"/>
      <c r="N5" s="519"/>
      <c r="O5" s="519"/>
    </row>
    <row r="6" spans="1:15" ht="33" customHeight="1">
      <c r="A6" s="25"/>
      <c r="B6" s="671" t="s">
        <v>550</v>
      </c>
      <c r="C6" s="672"/>
      <c r="D6" s="672"/>
      <c r="E6" s="672"/>
      <c r="F6" s="672"/>
      <c r="G6" s="672"/>
      <c r="H6" s="672"/>
      <c r="I6" s="673"/>
      <c r="J6" s="61">
        <v>110</v>
      </c>
      <c r="K6" s="61">
        <v>99.95</v>
      </c>
      <c r="L6" s="58">
        <f>K6/J6*100</f>
        <v>90.863636363636374</v>
      </c>
      <c r="M6" s="61">
        <f>AVERAGE(H10:H11,H13,H15,H17)</f>
        <v>0.86751745584697526</v>
      </c>
      <c r="N6" s="61">
        <f>AVERAGE(H8:H8)</f>
        <v>1</v>
      </c>
      <c r="O6" s="61">
        <f>SUM(I10:I11,I13,I15,I17)</f>
        <v>0.89700463533415487</v>
      </c>
    </row>
    <row r="7" spans="1:15" ht="15" customHeight="1">
      <c r="A7" s="306"/>
      <c r="B7" s="607" t="s">
        <v>552</v>
      </c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  <c r="O7" s="607"/>
    </row>
    <row r="8" spans="1:15">
      <c r="A8" s="459">
        <v>1</v>
      </c>
      <c r="B8" s="279" t="s">
        <v>553</v>
      </c>
      <c r="C8" s="307" t="s">
        <v>13</v>
      </c>
      <c r="D8" s="158" t="s">
        <v>31</v>
      </c>
      <c r="E8" s="308">
        <v>140</v>
      </c>
      <c r="F8" s="84">
        <v>180</v>
      </c>
      <c r="G8" s="79">
        <v>159</v>
      </c>
      <c r="H8" s="309">
        <v>1</v>
      </c>
      <c r="I8" s="158" t="s">
        <v>31</v>
      </c>
      <c r="J8" s="25"/>
      <c r="K8" s="25"/>
      <c r="L8" s="25"/>
      <c r="M8" s="25"/>
      <c r="N8" s="25"/>
      <c r="O8" s="25"/>
    </row>
    <row r="9" spans="1:15" ht="15" customHeight="1">
      <c r="A9" s="459"/>
      <c r="B9" s="611" t="s">
        <v>554</v>
      </c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3"/>
    </row>
    <row r="10" spans="1:15" ht="25.5">
      <c r="A10" s="310" t="s">
        <v>59</v>
      </c>
      <c r="B10" s="279" t="s">
        <v>555</v>
      </c>
      <c r="C10" s="458" t="s">
        <v>13</v>
      </c>
      <c r="D10" s="22">
        <v>0.3</v>
      </c>
      <c r="E10" s="308">
        <v>22</v>
      </c>
      <c r="F10" s="84">
        <v>25</v>
      </c>
      <c r="G10" s="84">
        <v>26</v>
      </c>
      <c r="H10" s="510">
        <f>F10/G10</f>
        <v>0.96153846153846156</v>
      </c>
      <c r="I10" s="141">
        <f>H10*D10</f>
        <v>0.28846153846153844</v>
      </c>
      <c r="J10" s="141"/>
      <c r="K10" s="141"/>
      <c r="L10" s="141"/>
      <c r="M10" s="141"/>
      <c r="N10" s="141"/>
      <c r="O10" s="141"/>
    </row>
    <row r="11" spans="1:15" ht="25.5">
      <c r="A11" s="310" t="s">
        <v>60</v>
      </c>
      <c r="B11" s="279" t="s">
        <v>556</v>
      </c>
      <c r="C11" s="458" t="s">
        <v>471</v>
      </c>
      <c r="D11" s="22">
        <v>0.1</v>
      </c>
      <c r="E11" s="308">
        <v>2</v>
      </c>
      <c r="F11" s="84">
        <v>3</v>
      </c>
      <c r="G11" s="84">
        <v>2</v>
      </c>
      <c r="H11" s="309">
        <f t="shared" ref="H11" si="0">G11/F11</f>
        <v>0.66666666666666663</v>
      </c>
      <c r="I11" s="141">
        <f t="shared" ref="I11" si="1">H11*D11</f>
        <v>6.6666666666666666E-2</v>
      </c>
      <c r="J11" s="141"/>
      <c r="K11" s="141"/>
      <c r="L11" s="141"/>
      <c r="M11" s="141"/>
      <c r="N11" s="141"/>
      <c r="O11" s="141"/>
    </row>
    <row r="12" spans="1:15" ht="15" customHeight="1">
      <c r="A12" s="459"/>
      <c r="B12" s="550" t="s">
        <v>557</v>
      </c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2"/>
    </row>
    <row r="13" spans="1:15" ht="38.25">
      <c r="A13" s="459" t="s">
        <v>96</v>
      </c>
      <c r="B13" s="279" t="s">
        <v>559</v>
      </c>
      <c r="C13" s="458" t="s">
        <v>9</v>
      </c>
      <c r="D13" s="22">
        <v>0.2</v>
      </c>
      <c r="E13" s="311">
        <v>150</v>
      </c>
      <c r="F13" s="79">
        <v>160</v>
      </c>
      <c r="G13" s="79">
        <v>160</v>
      </c>
      <c r="H13" s="309">
        <f>G13/F13</f>
        <v>1</v>
      </c>
      <c r="I13" s="141">
        <f>H13*D13</f>
        <v>0.2</v>
      </c>
      <c r="J13" s="141"/>
      <c r="K13" s="141"/>
      <c r="L13" s="141"/>
      <c r="M13" s="141"/>
      <c r="N13" s="141"/>
      <c r="O13" s="141"/>
    </row>
    <row r="14" spans="1:15" ht="15" customHeight="1">
      <c r="A14" s="459"/>
      <c r="B14" s="550" t="s">
        <v>560</v>
      </c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2"/>
    </row>
    <row r="15" spans="1:15" ht="38.25">
      <c r="A15" s="459" t="s">
        <v>102</v>
      </c>
      <c r="B15" s="279" t="s">
        <v>558</v>
      </c>
      <c r="C15" s="458" t="s">
        <v>9</v>
      </c>
      <c r="D15" s="22">
        <v>0.2</v>
      </c>
      <c r="E15" s="311">
        <v>64</v>
      </c>
      <c r="F15" s="79">
        <v>52</v>
      </c>
      <c r="G15" s="79">
        <v>57</v>
      </c>
      <c r="H15" s="309">
        <f>F15/G15</f>
        <v>0.91228070175438591</v>
      </c>
      <c r="I15" s="141">
        <f>H15*D15</f>
        <v>0.18245614035087721</v>
      </c>
      <c r="J15" s="141"/>
      <c r="K15" s="141"/>
      <c r="L15" s="141"/>
      <c r="M15" s="141"/>
      <c r="N15" s="141"/>
      <c r="O15" s="141"/>
    </row>
    <row r="16" spans="1:15" ht="15" customHeight="1">
      <c r="A16" s="459"/>
      <c r="B16" s="550" t="s">
        <v>561</v>
      </c>
      <c r="C16" s="551"/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2"/>
    </row>
    <row r="17" spans="1:15" ht="63.75">
      <c r="A17" s="459" t="s">
        <v>156</v>
      </c>
      <c r="B17" s="279" t="s">
        <v>648</v>
      </c>
      <c r="C17" s="458" t="s">
        <v>9</v>
      </c>
      <c r="D17" s="22">
        <v>0.2</v>
      </c>
      <c r="E17" s="311">
        <v>64</v>
      </c>
      <c r="F17" s="79">
        <v>55</v>
      </c>
      <c r="G17" s="79">
        <v>69</v>
      </c>
      <c r="H17" s="309">
        <f>F17/G17</f>
        <v>0.79710144927536231</v>
      </c>
      <c r="I17" s="141">
        <f>H17*D17</f>
        <v>0.15942028985507248</v>
      </c>
      <c r="J17" s="141"/>
      <c r="K17" s="141"/>
      <c r="L17" s="141"/>
      <c r="M17" s="141"/>
      <c r="N17" s="141"/>
      <c r="O17" s="141"/>
    </row>
  </sheetData>
  <mergeCells count="26">
    <mergeCell ref="B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B16:O16"/>
    <mergeCell ref="E3:E5"/>
    <mergeCell ref="F3:I3"/>
    <mergeCell ref="J3:L3"/>
    <mergeCell ref="F4:F5"/>
    <mergeCell ref="G4:G5"/>
    <mergeCell ref="H4:H5"/>
    <mergeCell ref="I4:I5"/>
    <mergeCell ref="J4:J5"/>
    <mergeCell ref="K4:K5"/>
    <mergeCell ref="L4:L5"/>
    <mergeCell ref="B6:I6"/>
    <mergeCell ref="B7:O7"/>
    <mergeCell ref="B9:O9"/>
    <mergeCell ref="B12:O12"/>
    <mergeCell ref="B14:O14"/>
  </mergeCells>
  <pageMargins left="0.7" right="0.7" top="0.75" bottom="0.75" header="0.3" footer="0.3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view="pageBreakPreview" zoomScaleNormal="100" zoomScaleSheetLayoutView="100" workbookViewId="0">
      <pane ySplit="6" topLeftCell="A7" activePane="bottomLeft" state="frozen"/>
      <selection pane="bottomLeft" activeCell="O10" sqref="O10"/>
    </sheetView>
  </sheetViews>
  <sheetFormatPr defaultRowHeight="15"/>
  <cols>
    <col min="1" max="1" width="5.140625" customWidth="1"/>
    <col min="2" max="2" width="45.7109375" customWidth="1"/>
    <col min="3" max="3" width="7" customWidth="1"/>
    <col min="4" max="4" width="9.42578125" customWidth="1"/>
    <col min="7" max="7" width="9.140625" customWidth="1"/>
    <col min="8" max="8" width="21.28515625" customWidth="1"/>
    <col min="9" max="9" width="9.140625" customWidth="1"/>
    <col min="10" max="10" width="12.7109375" customWidth="1"/>
    <col min="11" max="11" width="13.28515625" customWidth="1"/>
    <col min="12" max="12" width="7.7109375" customWidth="1"/>
    <col min="13" max="13" width="14.140625" customWidth="1"/>
    <col min="14" max="14" width="8" customWidth="1"/>
    <col min="15" max="15" width="14.140625" customWidth="1"/>
  </cols>
  <sheetData>
    <row r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>
      <c r="A2" s="537" t="s">
        <v>579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</row>
    <row r="3" spans="1:15" ht="32.25" customHeight="1">
      <c r="A3" s="518" t="s">
        <v>1</v>
      </c>
      <c r="B3" s="518" t="s">
        <v>2</v>
      </c>
      <c r="C3" s="518" t="s">
        <v>3</v>
      </c>
      <c r="D3" s="518" t="s">
        <v>405</v>
      </c>
      <c r="E3" s="536" t="s">
        <v>108</v>
      </c>
      <c r="F3" s="536"/>
      <c r="G3" s="536"/>
      <c r="H3" s="536"/>
      <c r="I3" s="536"/>
      <c r="J3" s="536" t="s">
        <v>107</v>
      </c>
      <c r="K3" s="536"/>
      <c r="L3" s="536"/>
      <c r="M3" s="533" t="s">
        <v>415</v>
      </c>
      <c r="N3" s="518" t="s">
        <v>399</v>
      </c>
      <c r="O3" s="518" t="s">
        <v>402</v>
      </c>
    </row>
    <row r="4" spans="1:15" ht="15" customHeight="1">
      <c r="A4" s="539"/>
      <c r="B4" s="539"/>
      <c r="C4" s="539"/>
      <c r="D4" s="539"/>
      <c r="E4" s="518" t="s">
        <v>589</v>
      </c>
      <c r="F4" s="540" t="s">
        <v>588</v>
      </c>
      <c r="G4" s="541"/>
      <c r="H4" s="541"/>
      <c r="I4" s="542"/>
      <c r="J4" s="516" t="s">
        <v>590</v>
      </c>
      <c r="K4" s="516"/>
      <c r="L4" s="516"/>
      <c r="M4" s="534"/>
      <c r="N4" s="539"/>
      <c r="O4" s="539"/>
    </row>
    <row r="5" spans="1:15" ht="15" customHeight="1">
      <c r="A5" s="539"/>
      <c r="B5" s="539"/>
      <c r="C5" s="539"/>
      <c r="D5" s="539"/>
      <c r="E5" s="539"/>
      <c r="F5" s="543" t="s">
        <v>4</v>
      </c>
      <c r="G5" s="543" t="s">
        <v>5</v>
      </c>
      <c r="H5" s="516" t="s">
        <v>400</v>
      </c>
      <c r="I5" s="518" t="s">
        <v>401</v>
      </c>
      <c r="J5" s="516" t="s">
        <v>4</v>
      </c>
      <c r="K5" s="516" t="s">
        <v>5</v>
      </c>
      <c r="L5" s="516" t="s">
        <v>6</v>
      </c>
      <c r="M5" s="534"/>
      <c r="N5" s="539"/>
      <c r="O5" s="539"/>
    </row>
    <row r="6" spans="1:15" ht="54" customHeight="1">
      <c r="A6" s="519"/>
      <c r="B6" s="519"/>
      <c r="C6" s="519"/>
      <c r="D6" s="519"/>
      <c r="E6" s="519"/>
      <c r="F6" s="543"/>
      <c r="G6" s="543"/>
      <c r="H6" s="516"/>
      <c r="I6" s="519"/>
      <c r="J6" s="516"/>
      <c r="K6" s="516"/>
      <c r="L6" s="516"/>
      <c r="M6" s="535"/>
      <c r="N6" s="519"/>
      <c r="O6" s="519"/>
    </row>
    <row r="7" spans="1:15" ht="15.75">
      <c r="A7" s="25"/>
      <c r="B7" s="538" t="s">
        <v>191</v>
      </c>
      <c r="C7" s="538"/>
      <c r="D7" s="538"/>
      <c r="E7" s="538"/>
      <c r="F7" s="538"/>
      <c r="G7" s="538"/>
      <c r="H7" s="538"/>
      <c r="I7" s="538"/>
      <c r="J7" s="513">
        <v>721597.8</v>
      </c>
      <c r="K7" s="513">
        <v>713975.6</v>
      </c>
      <c r="L7" s="58">
        <f>K7/J7*100</f>
        <v>98.943705205309655</v>
      </c>
      <c r="M7" s="60" t="s">
        <v>133</v>
      </c>
      <c r="N7" s="61">
        <f>AVERAGE(H9:H11)</f>
        <v>1</v>
      </c>
      <c r="O7" s="61">
        <f>SUM(I14:I15,I18:I21,I24:I28)</f>
        <v>1.0000000000000002</v>
      </c>
    </row>
    <row r="8" spans="1:15" ht="15" customHeight="1">
      <c r="A8" s="25"/>
      <c r="B8" s="547" t="s">
        <v>167</v>
      </c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9"/>
    </row>
    <row r="9" spans="1:15" ht="51.75">
      <c r="A9" s="117">
        <v>1</v>
      </c>
      <c r="B9" s="97" t="s">
        <v>168</v>
      </c>
      <c r="C9" s="97" t="s">
        <v>0</v>
      </c>
      <c r="D9" s="158" t="s">
        <v>31</v>
      </c>
      <c r="E9" s="258">
        <v>100</v>
      </c>
      <c r="F9" s="259">
        <v>100</v>
      </c>
      <c r="G9" s="260">
        <v>100</v>
      </c>
      <c r="H9" s="224">
        <f>G9/F9</f>
        <v>1</v>
      </c>
      <c r="I9" s="37" t="s">
        <v>133</v>
      </c>
      <c r="J9" s="37" t="s">
        <v>133</v>
      </c>
      <c r="K9" s="37" t="s">
        <v>133</v>
      </c>
      <c r="L9" s="37" t="s">
        <v>133</v>
      </c>
      <c r="M9" s="37" t="s">
        <v>133</v>
      </c>
      <c r="N9" s="37" t="s">
        <v>133</v>
      </c>
      <c r="O9" s="37" t="s">
        <v>133</v>
      </c>
    </row>
    <row r="10" spans="1:15" ht="77.25">
      <c r="A10" s="117">
        <v>2</v>
      </c>
      <c r="B10" s="97" t="s">
        <v>169</v>
      </c>
      <c r="C10" s="97" t="s">
        <v>0</v>
      </c>
      <c r="D10" s="158" t="s">
        <v>31</v>
      </c>
      <c r="E10" s="258">
        <v>0</v>
      </c>
      <c r="F10" s="156">
        <v>10</v>
      </c>
      <c r="G10" s="260">
        <v>0</v>
      </c>
      <c r="H10" s="224">
        <v>1</v>
      </c>
      <c r="I10" s="37" t="s">
        <v>133</v>
      </c>
      <c r="J10" s="37" t="s">
        <v>133</v>
      </c>
      <c r="K10" s="37" t="s">
        <v>133</v>
      </c>
      <c r="L10" s="37" t="s">
        <v>133</v>
      </c>
      <c r="M10" s="37" t="s">
        <v>133</v>
      </c>
      <c r="N10" s="37" t="s">
        <v>133</v>
      </c>
      <c r="O10" s="37" t="s">
        <v>133</v>
      </c>
    </row>
    <row r="11" spans="1:15" ht="26.25">
      <c r="A11" s="117">
        <v>3</v>
      </c>
      <c r="B11" s="97" t="s">
        <v>170</v>
      </c>
      <c r="C11" s="97" t="s">
        <v>0</v>
      </c>
      <c r="D11" s="158" t="s">
        <v>31</v>
      </c>
      <c r="E11" s="258">
        <v>91.8</v>
      </c>
      <c r="F11" s="156">
        <v>92</v>
      </c>
      <c r="G11" s="260">
        <v>92.9</v>
      </c>
      <c r="H11" s="221">
        <v>1</v>
      </c>
      <c r="I11" s="37" t="s">
        <v>133</v>
      </c>
      <c r="J11" s="37" t="s">
        <v>133</v>
      </c>
      <c r="K11" s="37" t="s">
        <v>133</v>
      </c>
      <c r="L11" s="37" t="s">
        <v>133</v>
      </c>
      <c r="M11" s="37" t="s">
        <v>133</v>
      </c>
      <c r="N11" s="37" t="s">
        <v>133</v>
      </c>
      <c r="O11" s="37" t="s">
        <v>133</v>
      </c>
    </row>
    <row r="12" spans="1:15" ht="15" customHeight="1">
      <c r="A12" s="25"/>
      <c r="B12" s="550" t="s">
        <v>171</v>
      </c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2"/>
    </row>
    <row r="13" spans="1:15" ht="35.25" customHeight="1">
      <c r="A13" s="25"/>
      <c r="B13" s="544" t="s">
        <v>172</v>
      </c>
      <c r="C13" s="545"/>
      <c r="D13" s="545"/>
      <c r="E13" s="545"/>
      <c r="F13" s="545"/>
      <c r="G13" s="545"/>
      <c r="H13" s="545"/>
      <c r="I13" s="545"/>
      <c r="J13" s="513">
        <v>673606</v>
      </c>
      <c r="K13" s="513">
        <v>666521.81999999995</v>
      </c>
      <c r="L13" s="99">
        <f>K13/J13*100</f>
        <v>98.948319937767764</v>
      </c>
      <c r="M13" s="378">
        <f>AVERAGE(H14:H15)</f>
        <v>1</v>
      </c>
      <c r="N13" s="100"/>
      <c r="O13" s="100"/>
    </row>
    <row r="14" spans="1:15" ht="51.75">
      <c r="A14" s="104" t="s">
        <v>59</v>
      </c>
      <c r="B14" s="97" t="s">
        <v>168</v>
      </c>
      <c r="C14" s="97" t="s">
        <v>0</v>
      </c>
      <c r="D14" s="261">
        <v>0.1</v>
      </c>
      <c r="E14" s="258">
        <v>100</v>
      </c>
      <c r="F14" s="217">
        <v>100</v>
      </c>
      <c r="G14" s="217">
        <v>100</v>
      </c>
      <c r="H14" s="224">
        <f>G14/F14</f>
        <v>1</v>
      </c>
      <c r="I14" s="141">
        <f>H14*D14</f>
        <v>0.1</v>
      </c>
      <c r="J14" s="37" t="s">
        <v>133</v>
      </c>
      <c r="K14" s="37" t="s">
        <v>133</v>
      </c>
      <c r="L14" s="37" t="s">
        <v>133</v>
      </c>
      <c r="M14" s="37" t="s">
        <v>133</v>
      </c>
      <c r="N14" s="25"/>
      <c r="O14" s="25"/>
    </row>
    <row r="15" spans="1:15" ht="51.75">
      <c r="A15" s="104" t="s">
        <v>60</v>
      </c>
      <c r="B15" s="97" t="s">
        <v>173</v>
      </c>
      <c r="C15" s="97" t="s">
        <v>174</v>
      </c>
      <c r="D15" s="258">
        <v>0.2</v>
      </c>
      <c r="E15" s="258">
        <v>0</v>
      </c>
      <c r="F15" s="217">
        <v>0</v>
      </c>
      <c r="G15" s="217">
        <v>0</v>
      </c>
      <c r="H15" s="224">
        <v>1</v>
      </c>
      <c r="I15" s="141">
        <f>H15*D15</f>
        <v>0.2</v>
      </c>
      <c r="J15" s="37" t="s">
        <v>133</v>
      </c>
      <c r="K15" s="37" t="s">
        <v>133</v>
      </c>
      <c r="L15" s="37" t="s">
        <v>133</v>
      </c>
      <c r="M15" s="37" t="s">
        <v>133</v>
      </c>
      <c r="N15" s="25"/>
      <c r="O15" s="25"/>
    </row>
    <row r="16" spans="1:15" ht="15" customHeight="1">
      <c r="A16" s="25"/>
      <c r="B16" s="550" t="s">
        <v>175</v>
      </c>
      <c r="C16" s="551"/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2"/>
    </row>
    <row r="17" spans="1:15" ht="15" customHeight="1">
      <c r="A17" s="25"/>
      <c r="B17" s="544" t="s">
        <v>176</v>
      </c>
      <c r="C17" s="545"/>
      <c r="D17" s="545"/>
      <c r="E17" s="545"/>
      <c r="F17" s="545"/>
      <c r="G17" s="545"/>
      <c r="H17" s="545"/>
      <c r="I17" s="546"/>
      <c r="J17" s="203">
        <v>0</v>
      </c>
      <c r="K17" s="203">
        <v>0</v>
      </c>
      <c r="L17" s="95">
        <v>100</v>
      </c>
      <c r="M17" s="203">
        <f>AVERAGE(H18:H21)</f>
        <v>1</v>
      </c>
      <c r="N17" s="101"/>
      <c r="O17" s="101"/>
    </row>
    <row r="18" spans="1:15" ht="51.75">
      <c r="A18" s="104" t="s">
        <v>19</v>
      </c>
      <c r="B18" s="97" t="s">
        <v>177</v>
      </c>
      <c r="C18" s="97" t="s">
        <v>0</v>
      </c>
      <c r="D18" s="192">
        <v>7.0000000000000007E-2</v>
      </c>
      <c r="E18" s="262">
        <v>0</v>
      </c>
      <c r="F18" s="156">
        <v>50</v>
      </c>
      <c r="G18" s="259">
        <v>0</v>
      </c>
      <c r="H18" s="263">
        <v>1</v>
      </c>
      <c r="I18" s="141">
        <f>H18*D18</f>
        <v>7.0000000000000007E-2</v>
      </c>
      <c r="J18" s="37" t="s">
        <v>133</v>
      </c>
      <c r="K18" s="37" t="s">
        <v>133</v>
      </c>
      <c r="L18" s="37" t="s">
        <v>133</v>
      </c>
      <c r="M18" s="37" t="s">
        <v>133</v>
      </c>
      <c r="N18" s="25"/>
      <c r="O18" s="25"/>
    </row>
    <row r="19" spans="1:15" ht="39">
      <c r="A19" s="104" t="s">
        <v>21</v>
      </c>
      <c r="B19" s="97" t="s">
        <v>178</v>
      </c>
      <c r="C19" s="97" t="s">
        <v>0</v>
      </c>
      <c r="D19" s="192">
        <v>7.0000000000000007E-2</v>
      </c>
      <c r="E19" s="258">
        <v>0</v>
      </c>
      <c r="F19" s="156">
        <v>20</v>
      </c>
      <c r="G19" s="259">
        <v>0</v>
      </c>
      <c r="H19" s="263">
        <v>1</v>
      </c>
      <c r="I19" s="141">
        <f t="shared" ref="I19:I21" si="0">H19*D19</f>
        <v>7.0000000000000007E-2</v>
      </c>
      <c r="J19" s="37" t="s">
        <v>133</v>
      </c>
      <c r="K19" s="37" t="s">
        <v>133</v>
      </c>
      <c r="L19" s="37" t="s">
        <v>133</v>
      </c>
      <c r="M19" s="37" t="s">
        <v>133</v>
      </c>
      <c r="N19" s="25"/>
      <c r="O19" s="25"/>
    </row>
    <row r="20" spans="1:15" ht="64.5">
      <c r="A20" s="104" t="s">
        <v>99</v>
      </c>
      <c r="B20" s="97" t="s">
        <v>179</v>
      </c>
      <c r="C20" s="97" t="s">
        <v>0</v>
      </c>
      <c r="D20" s="192">
        <v>7.0000000000000007E-2</v>
      </c>
      <c r="E20" s="258">
        <v>0</v>
      </c>
      <c r="F20" s="156">
        <v>10</v>
      </c>
      <c r="G20" s="217">
        <v>0</v>
      </c>
      <c r="H20" s="224">
        <v>1</v>
      </c>
      <c r="I20" s="141">
        <f t="shared" si="0"/>
        <v>7.0000000000000007E-2</v>
      </c>
      <c r="J20" s="37" t="s">
        <v>133</v>
      </c>
      <c r="K20" s="37" t="s">
        <v>133</v>
      </c>
      <c r="L20" s="37" t="s">
        <v>133</v>
      </c>
      <c r="M20" s="37" t="s">
        <v>133</v>
      </c>
      <c r="N20" s="25"/>
      <c r="O20" s="25"/>
    </row>
    <row r="21" spans="1:15" ht="26.25">
      <c r="A21" s="104" t="s">
        <v>150</v>
      </c>
      <c r="B21" s="97" t="s">
        <v>180</v>
      </c>
      <c r="C21" s="97" t="s">
        <v>174</v>
      </c>
      <c r="D21" s="192">
        <v>7.0000000000000007E-2</v>
      </c>
      <c r="E21" s="258">
        <v>0</v>
      </c>
      <c r="F21" s="156">
        <v>0</v>
      </c>
      <c r="G21" s="217">
        <v>0</v>
      </c>
      <c r="H21" s="264">
        <v>1</v>
      </c>
      <c r="I21" s="141">
        <f t="shared" si="0"/>
        <v>7.0000000000000007E-2</v>
      </c>
      <c r="J21" s="37" t="s">
        <v>133</v>
      </c>
      <c r="K21" s="37" t="s">
        <v>133</v>
      </c>
      <c r="L21" s="37" t="s">
        <v>133</v>
      </c>
      <c r="M21" s="37" t="s">
        <v>133</v>
      </c>
      <c r="N21" s="25"/>
      <c r="O21" s="25"/>
    </row>
    <row r="22" spans="1:15" ht="28.5" customHeight="1">
      <c r="A22" s="25"/>
      <c r="B22" s="550" t="s">
        <v>181</v>
      </c>
      <c r="C22" s="551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2"/>
    </row>
    <row r="23" spans="1:15" ht="15" customHeight="1">
      <c r="A23" s="25"/>
      <c r="B23" s="544" t="s">
        <v>182</v>
      </c>
      <c r="C23" s="545"/>
      <c r="D23" s="545"/>
      <c r="E23" s="545"/>
      <c r="F23" s="545"/>
      <c r="G23" s="545"/>
      <c r="H23" s="545"/>
      <c r="I23" s="546"/>
      <c r="J23" s="513">
        <v>47991.8</v>
      </c>
      <c r="K23" s="513">
        <v>47453.73</v>
      </c>
      <c r="L23" s="58">
        <f>K23/J23*100</f>
        <v>98.878829300005421</v>
      </c>
      <c r="M23" s="61">
        <f>AVERAGE(H24:H28)</f>
        <v>1</v>
      </c>
      <c r="N23" s="101"/>
      <c r="O23" s="101"/>
    </row>
    <row r="24" spans="1:15" ht="39">
      <c r="A24" s="104" t="s">
        <v>102</v>
      </c>
      <c r="B24" s="97" t="s">
        <v>183</v>
      </c>
      <c r="C24" s="97" t="s">
        <v>0</v>
      </c>
      <c r="D24" s="192">
        <v>0.2</v>
      </c>
      <c r="E24" s="258">
        <v>91.8</v>
      </c>
      <c r="F24" s="156">
        <v>92</v>
      </c>
      <c r="G24" s="260">
        <v>92.9</v>
      </c>
      <c r="H24" s="224">
        <v>1</v>
      </c>
      <c r="I24" s="143">
        <f>H24*D24</f>
        <v>0.2</v>
      </c>
      <c r="J24" s="37" t="s">
        <v>133</v>
      </c>
      <c r="K24" s="37" t="s">
        <v>133</v>
      </c>
      <c r="L24" s="37" t="s">
        <v>133</v>
      </c>
      <c r="M24" s="37" t="s">
        <v>133</v>
      </c>
      <c r="N24" s="25"/>
      <c r="O24" s="25"/>
    </row>
    <row r="25" spans="1:15" ht="39">
      <c r="A25" s="104" t="s">
        <v>104</v>
      </c>
      <c r="B25" s="97" t="s">
        <v>184</v>
      </c>
      <c r="C25" s="97" t="s">
        <v>0</v>
      </c>
      <c r="D25" s="192">
        <v>7.0000000000000007E-2</v>
      </c>
      <c r="E25" s="258">
        <v>97.6</v>
      </c>
      <c r="F25" s="156">
        <v>95</v>
      </c>
      <c r="G25" s="217">
        <v>98</v>
      </c>
      <c r="H25" s="224">
        <v>1</v>
      </c>
      <c r="I25" s="143">
        <f t="shared" ref="I25:I28" si="1">H25*D25</f>
        <v>7.0000000000000007E-2</v>
      </c>
      <c r="J25" s="37" t="s">
        <v>133</v>
      </c>
      <c r="K25" s="37" t="s">
        <v>133</v>
      </c>
      <c r="L25" s="37" t="s">
        <v>133</v>
      </c>
      <c r="M25" s="37" t="s">
        <v>133</v>
      </c>
      <c r="N25" s="25"/>
      <c r="O25" s="25"/>
    </row>
    <row r="26" spans="1:15" ht="64.5">
      <c r="A26" s="104" t="s">
        <v>105</v>
      </c>
      <c r="B26" s="97" t="s">
        <v>185</v>
      </c>
      <c r="C26" s="97" t="s">
        <v>0</v>
      </c>
      <c r="D26" s="258">
        <v>7.0000000000000007E-2</v>
      </c>
      <c r="E26" s="258">
        <v>100</v>
      </c>
      <c r="F26" s="217">
        <v>100</v>
      </c>
      <c r="G26" s="217">
        <v>100</v>
      </c>
      <c r="H26" s="224">
        <f t="shared" ref="H26:H27" si="2">G26/F26</f>
        <v>1</v>
      </c>
      <c r="I26" s="143">
        <f t="shared" si="1"/>
        <v>7.0000000000000007E-2</v>
      </c>
      <c r="J26" s="37" t="s">
        <v>133</v>
      </c>
      <c r="K26" s="37" t="s">
        <v>133</v>
      </c>
      <c r="L26" s="37" t="s">
        <v>133</v>
      </c>
      <c r="M26" s="37" t="s">
        <v>133</v>
      </c>
      <c r="N26" s="25"/>
      <c r="O26" s="25"/>
    </row>
    <row r="27" spans="1:15" ht="26.25">
      <c r="A27" s="104" t="s">
        <v>186</v>
      </c>
      <c r="B27" s="97" t="s">
        <v>187</v>
      </c>
      <c r="C27" s="97" t="s">
        <v>0</v>
      </c>
      <c r="D27" s="265">
        <v>0.04</v>
      </c>
      <c r="E27" s="258">
        <v>100</v>
      </c>
      <c r="F27" s="217">
        <v>100</v>
      </c>
      <c r="G27" s="217">
        <v>100</v>
      </c>
      <c r="H27" s="224">
        <f t="shared" si="2"/>
        <v>1</v>
      </c>
      <c r="I27" s="143">
        <f t="shared" si="1"/>
        <v>0.04</v>
      </c>
      <c r="J27" s="37" t="s">
        <v>133</v>
      </c>
      <c r="K27" s="37" t="s">
        <v>133</v>
      </c>
      <c r="L27" s="37" t="s">
        <v>133</v>
      </c>
      <c r="M27" s="37" t="s">
        <v>133</v>
      </c>
      <c r="N27" s="25"/>
      <c r="O27" s="25"/>
    </row>
    <row r="28" spans="1:15" ht="52.5" thickBot="1">
      <c r="A28" s="104" t="s">
        <v>188</v>
      </c>
      <c r="B28" s="97" t="s">
        <v>189</v>
      </c>
      <c r="C28" s="97" t="s">
        <v>190</v>
      </c>
      <c r="D28" s="266">
        <v>0.04</v>
      </c>
      <c r="E28" s="258">
        <v>4</v>
      </c>
      <c r="F28" s="217">
        <v>4</v>
      </c>
      <c r="G28" s="217">
        <v>12</v>
      </c>
      <c r="H28" s="224">
        <v>1</v>
      </c>
      <c r="I28" s="143">
        <f t="shared" si="1"/>
        <v>0.04</v>
      </c>
      <c r="J28" s="37" t="s">
        <v>133</v>
      </c>
      <c r="K28" s="37" t="s">
        <v>133</v>
      </c>
      <c r="L28" s="37" t="s">
        <v>133</v>
      </c>
      <c r="M28" s="37" t="s">
        <v>133</v>
      </c>
      <c r="N28" s="25"/>
      <c r="O28" s="25"/>
    </row>
    <row r="29" spans="1:15">
      <c r="B29" s="109" t="s">
        <v>206</v>
      </c>
      <c r="D29">
        <f>SUM(D14:D15,D18:D21,D24:D28)</f>
        <v>1.0000000000000002</v>
      </c>
    </row>
  </sheetData>
  <mergeCells count="28">
    <mergeCell ref="B23:I23"/>
    <mergeCell ref="B8:O8"/>
    <mergeCell ref="B12:O12"/>
    <mergeCell ref="B13:I13"/>
    <mergeCell ref="B17:I17"/>
    <mergeCell ref="B22:O22"/>
    <mergeCell ref="B16:O16"/>
    <mergeCell ref="A2:O2"/>
    <mergeCell ref="B7:I7"/>
    <mergeCell ref="M3:M6"/>
    <mergeCell ref="N3:N6"/>
    <mergeCell ref="O3:O6"/>
    <mergeCell ref="E4:E6"/>
    <mergeCell ref="F4:I4"/>
    <mergeCell ref="J4:L4"/>
    <mergeCell ref="F5:F6"/>
    <mergeCell ref="G5:G6"/>
    <mergeCell ref="H5:H6"/>
    <mergeCell ref="I5:I6"/>
    <mergeCell ref="A3:A6"/>
    <mergeCell ref="B3:B6"/>
    <mergeCell ref="C3:C6"/>
    <mergeCell ref="D3:D6"/>
    <mergeCell ref="E3:I3"/>
    <mergeCell ref="J3:L3"/>
    <mergeCell ref="J5:J6"/>
    <mergeCell ref="K5:K6"/>
    <mergeCell ref="L5:L6"/>
  </mergeCells>
  <pageMargins left="0.7" right="0.7" top="0.75" bottom="0.75" header="0.3" footer="0.3"/>
  <pageSetup paperSize="9" scale="45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2"/>
  <sheetViews>
    <sheetView view="pageBreakPreview" zoomScale="90" zoomScaleNormal="100" zoomScaleSheetLayoutView="90" workbookViewId="0">
      <selection activeCell="O21" sqref="O21"/>
    </sheetView>
  </sheetViews>
  <sheetFormatPr defaultRowHeight="15"/>
  <cols>
    <col min="1" max="1" width="55.5703125" customWidth="1"/>
    <col min="2" max="2" width="8.28515625" customWidth="1"/>
    <col min="3" max="3" width="7.7109375" customWidth="1"/>
    <col min="4" max="4" width="7" customWidth="1"/>
    <col min="5" max="6" width="6.7109375" customWidth="1"/>
    <col min="7" max="8" width="6.7109375" style="2" customWidth="1"/>
    <col min="9" max="9" width="7.7109375" customWidth="1"/>
    <col min="10" max="10" width="7.42578125" customWidth="1"/>
    <col min="11" max="11" width="7" customWidth="1"/>
    <col min="12" max="13" width="7.140625" customWidth="1"/>
    <col min="14" max="15" width="7.140625" style="2" customWidth="1"/>
    <col min="16" max="16" width="7.140625" customWidth="1"/>
    <col min="17" max="17" width="7" customWidth="1"/>
    <col min="18" max="18" width="6" customWidth="1"/>
    <col min="19" max="20" width="6.28515625" customWidth="1"/>
    <col min="21" max="22" width="6.28515625" style="2" customWidth="1"/>
    <col min="23" max="23" width="6.7109375" customWidth="1"/>
    <col min="24" max="25" width="7.5703125" customWidth="1"/>
    <col min="26" max="26" width="6.140625" customWidth="1"/>
    <col min="27" max="27" width="6.85546875" customWidth="1"/>
    <col min="28" max="29" width="6.85546875" style="2" customWidth="1"/>
    <col min="30" max="30" width="7" customWidth="1"/>
    <col min="31" max="31" width="6.85546875" customWidth="1"/>
    <col min="32" max="32" width="7.140625" customWidth="1"/>
    <col min="33" max="33" width="6.28515625" customWidth="1"/>
    <col min="34" max="34" width="5.85546875" customWidth="1"/>
    <col min="35" max="35" width="5.85546875" style="2" customWidth="1"/>
    <col min="36" max="36" width="7.28515625" style="2" customWidth="1"/>
  </cols>
  <sheetData>
    <row r="1" spans="1:36">
      <c r="A1" s="25"/>
      <c r="B1" s="675" t="s">
        <v>497</v>
      </c>
      <c r="C1" s="676"/>
      <c r="D1" s="676"/>
      <c r="E1" s="676"/>
      <c r="F1" s="676"/>
      <c r="G1" s="677"/>
      <c r="H1" s="678"/>
      <c r="I1" s="679" t="s">
        <v>498</v>
      </c>
      <c r="J1" s="680"/>
      <c r="K1" s="680"/>
      <c r="L1" s="680"/>
      <c r="M1" s="680"/>
      <c r="N1" s="677"/>
      <c r="O1" s="678"/>
      <c r="P1" s="681" t="s">
        <v>499</v>
      </c>
      <c r="Q1" s="682"/>
      <c r="R1" s="682"/>
      <c r="S1" s="682"/>
      <c r="T1" s="682"/>
      <c r="U1" s="677"/>
      <c r="V1" s="678"/>
      <c r="W1" s="683" t="s">
        <v>500</v>
      </c>
      <c r="X1" s="684"/>
      <c r="Y1" s="684"/>
      <c r="Z1" s="684"/>
      <c r="AA1" s="684"/>
      <c r="AB1" s="677"/>
      <c r="AC1" s="678"/>
      <c r="AD1" s="685" t="s">
        <v>501</v>
      </c>
      <c r="AE1" s="686"/>
      <c r="AF1" s="686"/>
      <c r="AG1" s="686"/>
      <c r="AH1" s="686"/>
      <c r="AI1" s="677"/>
      <c r="AJ1" s="678"/>
    </row>
    <row r="2" spans="1:36" ht="29.25" customHeight="1">
      <c r="A2" s="332" t="s">
        <v>502</v>
      </c>
      <c r="B2" s="333">
        <v>2016</v>
      </c>
      <c r="C2" s="333">
        <v>2017</v>
      </c>
      <c r="D2" s="333">
        <v>2018</v>
      </c>
      <c r="E2" s="333">
        <v>2019</v>
      </c>
      <c r="F2" s="333">
        <v>2020</v>
      </c>
      <c r="G2" s="333">
        <v>2021</v>
      </c>
      <c r="H2" s="333">
        <v>2022</v>
      </c>
      <c r="I2" s="334">
        <v>2016</v>
      </c>
      <c r="J2" s="334">
        <v>2017</v>
      </c>
      <c r="K2" s="334">
        <v>2018</v>
      </c>
      <c r="L2" s="334">
        <v>2019</v>
      </c>
      <c r="M2" s="334">
        <v>2020</v>
      </c>
      <c r="N2" s="334">
        <v>2021</v>
      </c>
      <c r="O2" s="334">
        <v>2022</v>
      </c>
      <c r="P2" s="335">
        <v>2016</v>
      </c>
      <c r="Q2" s="335">
        <v>2017</v>
      </c>
      <c r="R2" s="335">
        <v>2018</v>
      </c>
      <c r="S2" s="335">
        <v>2019</v>
      </c>
      <c r="T2" s="335">
        <v>2020</v>
      </c>
      <c r="U2" s="335">
        <v>2021</v>
      </c>
      <c r="V2" s="335">
        <v>2022</v>
      </c>
      <c r="W2" s="336">
        <v>2016</v>
      </c>
      <c r="X2" s="336">
        <v>2017</v>
      </c>
      <c r="Y2" s="336">
        <v>2018</v>
      </c>
      <c r="Z2" s="336">
        <v>2019</v>
      </c>
      <c r="AA2" s="336">
        <v>2020</v>
      </c>
      <c r="AB2" s="336">
        <v>2021</v>
      </c>
      <c r="AC2" s="336">
        <v>2022</v>
      </c>
      <c r="AD2" s="337">
        <v>2016</v>
      </c>
      <c r="AE2" s="337">
        <v>2017</v>
      </c>
      <c r="AF2" s="337">
        <v>2018</v>
      </c>
      <c r="AG2" s="337">
        <v>2019</v>
      </c>
      <c r="AH2" s="422">
        <v>2020</v>
      </c>
      <c r="AI2" s="337">
        <v>2021</v>
      </c>
      <c r="AJ2" s="337">
        <v>2022</v>
      </c>
    </row>
    <row r="3" spans="1:36" ht="30" customHeight="1">
      <c r="A3" s="338" t="s">
        <v>191</v>
      </c>
      <c r="B3" s="339"/>
      <c r="C3" s="339" t="s">
        <v>503</v>
      </c>
      <c r="D3" s="339" t="s">
        <v>503</v>
      </c>
      <c r="E3" s="339" t="s">
        <v>503</v>
      </c>
      <c r="F3" s="339" t="s">
        <v>503</v>
      </c>
      <c r="G3" s="339" t="s">
        <v>503</v>
      </c>
      <c r="H3" s="339" t="s">
        <v>503</v>
      </c>
      <c r="I3" s="340" t="s">
        <v>503</v>
      </c>
      <c r="J3" s="340"/>
      <c r="K3" s="340"/>
      <c r="L3" s="340"/>
      <c r="M3" s="340"/>
      <c r="N3" s="340"/>
      <c r="O3" s="340"/>
      <c r="P3" s="341"/>
      <c r="Q3" s="341"/>
      <c r="R3" s="341"/>
      <c r="S3" s="341"/>
      <c r="T3" s="341"/>
      <c r="U3" s="341"/>
      <c r="V3" s="341"/>
      <c r="W3" s="342"/>
      <c r="X3" s="342"/>
      <c r="Y3" s="342"/>
      <c r="Z3" s="342"/>
      <c r="AA3" s="342"/>
      <c r="AB3" s="342"/>
      <c r="AC3" s="342"/>
      <c r="AD3" s="343"/>
      <c r="AE3" s="343"/>
      <c r="AF3" s="343"/>
      <c r="AG3" s="343"/>
      <c r="AH3" s="337"/>
      <c r="AI3" s="337"/>
      <c r="AJ3" s="337"/>
    </row>
    <row r="4" spans="1:36" ht="25.5">
      <c r="A4" s="338" t="s">
        <v>106</v>
      </c>
      <c r="B4" s="339"/>
      <c r="C4" s="339" t="s">
        <v>503</v>
      </c>
      <c r="D4" s="339" t="s">
        <v>503</v>
      </c>
      <c r="E4" s="339" t="s">
        <v>503</v>
      </c>
      <c r="F4" s="339" t="s">
        <v>503</v>
      </c>
      <c r="G4" s="339" t="s">
        <v>503</v>
      </c>
      <c r="H4" s="339" t="s">
        <v>503</v>
      </c>
      <c r="I4" s="340" t="s">
        <v>503</v>
      </c>
      <c r="J4" s="340"/>
      <c r="K4" s="340"/>
      <c r="L4" s="340"/>
      <c r="M4" s="340"/>
      <c r="N4" s="340"/>
      <c r="O4" s="340"/>
      <c r="P4" s="341"/>
      <c r="Q4" s="341"/>
      <c r="R4" s="341"/>
      <c r="S4" s="341"/>
      <c r="T4" s="341"/>
      <c r="U4" s="341"/>
      <c r="V4" s="341"/>
      <c r="W4" s="342"/>
      <c r="X4" s="342"/>
      <c r="Y4" s="342"/>
      <c r="Z4" s="342"/>
      <c r="AA4" s="342"/>
      <c r="AB4" s="342"/>
      <c r="AC4" s="342"/>
      <c r="AD4" s="343"/>
      <c r="AE4" s="343"/>
      <c r="AF4" s="343"/>
      <c r="AG4" s="343"/>
      <c r="AH4" s="337"/>
      <c r="AI4" s="337"/>
      <c r="AJ4" s="337"/>
    </row>
    <row r="5" spans="1:36" ht="25.5">
      <c r="A5" s="338" t="s">
        <v>233</v>
      </c>
      <c r="B5" s="339"/>
      <c r="C5" s="339"/>
      <c r="D5" s="339"/>
      <c r="E5" s="339" t="s">
        <v>503</v>
      </c>
      <c r="F5" s="344"/>
      <c r="G5" s="344"/>
      <c r="H5" s="344"/>
      <c r="I5" s="340"/>
      <c r="J5" s="340" t="s">
        <v>503</v>
      </c>
      <c r="K5" s="340" t="s">
        <v>503</v>
      </c>
      <c r="L5" s="340"/>
      <c r="M5" s="344"/>
      <c r="N5" s="344"/>
      <c r="O5" s="344"/>
      <c r="P5" s="341"/>
      <c r="Q5" s="341"/>
      <c r="R5" s="341"/>
      <c r="S5" s="341"/>
      <c r="T5" s="344"/>
      <c r="U5" s="344"/>
      <c r="V5" s="344"/>
      <c r="W5" s="342"/>
      <c r="X5" s="342"/>
      <c r="Y5" s="342"/>
      <c r="Z5" s="342"/>
      <c r="AA5" s="344"/>
      <c r="AB5" s="344"/>
      <c r="AC5" s="344"/>
      <c r="AD5" s="343" t="s">
        <v>503</v>
      </c>
      <c r="AE5" s="343"/>
      <c r="AF5" s="343"/>
      <c r="AG5" s="343"/>
      <c r="AH5" s="345"/>
      <c r="AI5" s="345"/>
      <c r="AJ5" s="345"/>
    </row>
    <row r="6" spans="1:36" ht="21">
      <c r="A6" s="338" t="s">
        <v>235</v>
      </c>
      <c r="B6" s="339"/>
      <c r="C6" s="339"/>
      <c r="D6" s="339" t="s">
        <v>503</v>
      </c>
      <c r="E6" s="339"/>
      <c r="F6" s="339"/>
      <c r="G6" s="339"/>
      <c r="H6" s="339" t="s">
        <v>503</v>
      </c>
      <c r="I6" s="340" t="s">
        <v>503</v>
      </c>
      <c r="J6" s="340" t="s">
        <v>503</v>
      </c>
      <c r="K6" s="340"/>
      <c r="L6" s="340" t="s">
        <v>503</v>
      </c>
      <c r="M6" s="340" t="s">
        <v>503</v>
      </c>
      <c r="N6" s="340" t="s">
        <v>503</v>
      </c>
      <c r="O6" s="340"/>
      <c r="P6" s="341"/>
      <c r="Q6" s="341"/>
      <c r="R6" s="341"/>
      <c r="S6" s="341"/>
      <c r="T6" s="341"/>
      <c r="U6" s="341"/>
      <c r="V6" s="341"/>
      <c r="W6" s="342"/>
      <c r="X6" s="342"/>
      <c r="Y6" s="342"/>
      <c r="Z6" s="342"/>
      <c r="AA6" s="342"/>
      <c r="AB6" s="342"/>
      <c r="AC6" s="342"/>
      <c r="AD6" s="343"/>
      <c r="AE6" s="343"/>
      <c r="AF6" s="343"/>
      <c r="AG6" s="343"/>
      <c r="AH6" s="337"/>
      <c r="AI6" s="337"/>
      <c r="AJ6" s="337"/>
    </row>
    <row r="7" spans="1:36" ht="21">
      <c r="A7" s="338" t="s">
        <v>241</v>
      </c>
      <c r="B7" s="339"/>
      <c r="C7" s="339"/>
      <c r="D7" s="339"/>
      <c r="E7" s="339" t="s">
        <v>503</v>
      </c>
      <c r="F7" s="339"/>
      <c r="G7" s="339"/>
      <c r="H7" s="339"/>
      <c r="I7" s="340" t="s">
        <v>503</v>
      </c>
      <c r="J7" s="340"/>
      <c r="K7" s="340"/>
      <c r="L7" s="340"/>
      <c r="M7" s="340" t="s">
        <v>503</v>
      </c>
      <c r="N7" s="340"/>
      <c r="O7" s="340" t="s">
        <v>503</v>
      </c>
      <c r="P7" s="341"/>
      <c r="Q7" s="341"/>
      <c r="R7" s="341"/>
      <c r="S7" s="341"/>
      <c r="T7" s="341"/>
      <c r="U7" s="341" t="s">
        <v>503</v>
      </c>
      <c r="V7" s="341"/>
      <c r="W7" s="342"/>
      <c r="X7" s="342"/>
      <c r="Y7" s="342"/>
      <c r="Z7" s="342"/>
      <c r="AA7" s="342"/>
      <c r="AB7" s="342"/>
      <c r="AC7" s="342"/>
      <c r="AD7" s="343"/>
      <c r="AE7" s="343" t="s">
        <v>503</v>
      </c>
      <c r="AF7" s="343" t="s">
        <v>503</v>
      </c>
      <c r="AG7" s="343"/>
      <c r="AH7" s="337"/>
      <c r="AI7" s="337"/>
      <c r="AJ7" s="337"/>
    </row>
    <row r="8" spans="1:36" ht="25.5">
      <c r="A8" s="338" t="s">
        <v>192</v>
      </c>
      <c r="B8" s="339" t="s">
        <v>503</v>
      </c>
      <c r="C8" s="339"/>
      <c r="D8" s="339"/>
      <c r="E8" s="339"/>
      <c r="F8" s="339"/>
      <c r="G8" s="339" t="s">
        <v>503</v>
      </c>
      <c r="H8" s="339"/>
      <c r="I8" s="340"/>
      <c r="J8" s="340" t="s">
        <v>503</v>
      </c>
      <c r="K8" s="340" t="s">
        <v>503</v>
      </c>
      <c r="L8" s="340"/>
      <c r="M8" s="340" t="s">
        <v>503</v>
      </c>
      <c r="N8" s="340"/>
      <c r="O8" s="340" t="s">
        <v>503</v>
      </c>
      <c r="P8" s="341"/>
      <c r="Q8" s="341"/>
      <c r="R8" s="341"/>
      <c r="S8" s="341"/>
      <c r="T8" s="341"/>
      <c r="U8" s="341"/>
      <c r="V8" s="341"/>
      <c r="W8" s="342"/>
      <c r="X8" s="342"/>
      <c r="Y8" s="342"/>
      <c r="Z8" s="342"/>
      <c r="AA8" s="342"/>
      <c r="AB8" s="342"/>
      <c r="AC8" s="342"/>
      <c r="AD8" s="343"/>
      <c r="AE8" s="343"/>
      <c r="AF8" s="343"/>
      <c r="AG8" s="343" t="s">
        <v>503</v>
      </c>
      <c r="AH8" s="337"/>
      <c r="AI8" s="337"/>
      <c r="AJ8" s="337"/>
    </row>
    <row r="9" spans="1:36" ht="25.5">
      <c r="A9" s="338" t="s">
        <v>548</v>
      </c>
      <c r="B9" s="339" t="s">
        <v>503</v>
      </c>
      <c r="C9" s="339"/>
      <c r="D9" s="339"/>
      <c r="E9" s="339"/>
      <c r="F9" s="339"/>
      <c r="G9" s="339"/>
      <c r="H9" s="339"/>
      <c r="I9" s="340"/>
      <c r="J9" s="340"/>
      <c r="K9" s="340"/>
      <c r="L9" s="340" t="s">
        <v>503</v>
      </c>
      <c r="M9" s="340" t="s">
        <v>503</v>
      </c>
      <c r="N9" s="340"/>
      <c r="O9" s="340" t="s">
        <v>503</v>
      </c>
      <c r="P9" s="341"/>
      <c r="Q9" s="341"/>
      <c r="R9" s="341"/>
      <c r="S9" s="341"/>
      <c r="T9" s="341"/>
      <c r="U9" s="341" t="s">
        <v>503</v>
      </c>
      <c r="V9" s="341"/>
      <c r="W9" s="342"/>
      <c r="X9" s="342"/>
      <c r="Y9" s="342"/>
      <c r="Z9" s="342"/>
      <c r="AA9" s="342"/>
      <c r="AB9" s="342"/>
      <c r="AC9" s="342"/>
      <c r="AD9" s="343"/>
      <c r="AE9" s="343" t="s">
        <v>503</v>
      </c>
      <c r="AF9" s="343" t="s">
        <v>503</v>
      </c>
      <c r="AG9" s="343"/>
      <c r="AH9" s="337"/>
      <c r="AI9" s="337"/>
      <c r="AJ9" s="337"/>
    </row>
    <row r="10" spans="1:36" ht="25.5">
      <c r="A10" s="338" t="s">
        <v>137</v>
      </c>
      <c r="B10" s="339"/>
      <c r="C10" s="339"/>
      <c r="D10" s="339"/>
      <c r="E10" s="339" t="s">
        <v>503</v>
      </c>
      <c r="F10" s="339"/>
      <c r="G10" s="339"/>
      <c r="H10" s="339"/>
      <c r="I10" s="340"/>
      <c r="J10" s="340" t="s">
        <v>503</v>
      </c>
      <c r="K10" s="340" t="s">
        <v>503</v>
      </c>
      <c r="L10" s="340"/>
      <c r="M10" s="340" t="s">
        <v>503</v>
      </c>
      <c r="N10" s="340" t="s">
        <v>503</v>
      </c>
      <c r="O10" s="340" t="s">
        <v>503</v>
      </c>
      <c r="P10" s="341"/>
      <c r="Q10" s="341"/>
      <c r="R10" s="341"/>
      <c r="S10" s="341"/>
      <c r="T10" s="341"/>
      <c r="U10" s="341"/>
      <c r="V10" s="341"/>
      <c r="W10" s="342"/>
      <c r="X10" s="342"/>
      <c r="Y10" s="342"/>
      <c r="Z10" s="342"/>
      <c r="AA10" s="342"/>
      <c r="AB10" s="342"/>
      <c r="AC10" s="342"/>
      <c r="AD10" s="343" t="s">
        <v>503</v>
      </c>
      <c r="AE10" s="343"/>
      <c r="AF10" s="343"/>
      <c r="AG10" s="343"/>
      <c r="AH10" s="337"/>
      <c r="AI10" s="337"/>
      <c r="AJ10" s="337"/>
    </row>
    <row r="11" spans="1:36" ht="51">
      <c r="A11" s="338" t="s">
        <v>253</v>
      </c>
      <c r="B11" s="339"/>
      <c r="C11" s="339"/>
      <c r="D11" s="339"/>
      <c r="E11" s="339" t="s">
        <v>503</v>
      </c>
      <c r="F11" s="339" t="s">
        <v>503</v>
      </c>
      <c r="G11" s="339" t="s">
        <v>503</v>
      </c>
      <c r="H11" s="339"/>
      <c r="I11" s="340"/>
      <c r="J11" s="340"/>
      <c r="K11" s="340"/>
      <c r="L11" s="340"/>
      <c r="M11" s="340"/>
      <c r="N11" s="340"/>
      <c r="O11" s="340" t="s">
        <v>503</v>
      </c>
      <c r="P11" s="341"/>
      <c r="Q11" s="341"/>
      <c r="R11" s="341"/>
      <c r="S11" s="341"/>
      <c r="T11" s="341"/>
      <c r="U11" s="341"/>
      <c r="V11" s="341"/>
      <c r="W11" s="342"/>
      <c r="X11" s="342"/>
      <c r="Y11" s="342"/>
      <c r="Z11" s="342"/>
      <c r="AA11" s="342"/>
      <c r="AB11" s="342"/>
      <c r="AC11" s="342"/>
      <c r="AD11" s="343" t="s">
        <v>503</v>
      </c>
      <c r="AE11" s="343" t="s">
        <v>503</v>
      </c>
      <c r="AF11" s="343" t="s">
        <v>503</v>
      </c>
      <c r="AG11" s="343"/>
      <c r="AH11" s="337"/>
      <c r="AI11" s="337"/>
      <c r="AJ11" s="337"/>
    </row>
    <row r="12" spans="1:36" ht="21">
      <c r="A12" s="338" t="s">
        <v>207</v>
      </c>
      <c r="B12" s="339"/>
      <c r="C12" s="339"/>
      <c r="D12" s="339"/>
      <c r="E12" s="339" t="s">
        <v>503</v>
      </c>
      <c r="F12" s="339" t="s">
        <v>503</v>
      </c>
      <c r="G12" s="339" t="s">
        <v>503</v>
      </c>
      <c r="H12" s="339" t="s">
        <v>503</v>
      </c>
      <c r="I12" s="340"/>
      <c r="J12" s="340"/>
      <c r="K12" s="340"/>
      <c r="L12" s="340"/>
      <c r="M12" s="340"/>
      <c r="N12" s="340"/>
      <c r="O12" s="340"/>
      <c r="P12" s="341"/>
      <c r="Q12" s="341"/>
      <c r="R12" s="341"/>
      <c r="S12" s="341"/>
      <c r="T12" s="341"/>
      <c r="U12" s="341"/>
      <c r="V12" s="341"/>
      <c r="W12" s="342" t="s">
        <v>503</v>
      </c>
      <c r="X12" s="342"/>
      <c r="Y12" s="342" t="s">
        <v>503</v>
      </c>
      <c r="Z12" s="342"/>
      <c r="AA12" s="342"/>
      <c r="AB12" s="342"/>
      <c r="AC12" s="342"/>
      <c r="AD12" s="343"/>
      <c r="AE12" s="343" t="s">
        <v>503</v>
      </c>
      <c r="AF12" s="343"/>
      <c r="AG12" s="343"/>
      <c r="AH12" s="337"/>
      <c r="AI12" s="337"/>
      <c r="AJ12" s="337"/>
    </row>
    <row r="13" spans="1:36" ht="25.5">
      <c r="A13" s="338" t="s">
        <v>260</v>
      </c>
      <c r="B13" s="339"/>
      <c r="C13" s="339"/>
      <c r="D13" s="339"/>
      <c r="E13" s="339"/>
      <c r="F13" s="339" t="s">
        <v>503</v>
      </c>
      <c r="G13" s="339"/>
      <c r="H13" s="339"/>
      <c r="I13" s="340"/>
      <c r="J13" s="340"/>
      <c r="K13" s="340" t="s">
        <v>503</v>
      </c>
      <c r="L13" s="340"/>
      <c r="M13" s="340"/>
      <c r="N13" s="340"/>
      <c r="O13" s="340" t="s">
        <v>503</v>
      </c>
      <c r="P13" s="341"/>
      <c r="Q13" s="341"/>
      <c r="R13" s="341"/>
      <c r="S13" s="341" t="s">
        <v>503</v>
      </c>
      <c r="T13" s="341"/>
      <c r="U13" s="341" t="s">
        <v>503</v>
      </c>
      <c r="V13" s="341"/>
      <c r="W13" s="342"/>
      <c r="X13" s="342"/>
      <c r="Y13" s="342"/>
      <c r="Z13" s="342"/>
      <c r="AA13" s="342"/>
      <c r="AB13" s="342"/>
      <c r="AC13" s="342"/>
      <c r="AD13" s="343" t="s">
        <v>503</v>
      </c>
      <c r="AE13" s="343" t="s">
        <v>503</v>
      </c>
      <c r="AF13" s="343"/>
      <c r="AG13" s="343"/>
      <c r="AH13" s="337"/>
      <c r="AI13" s="337"/>
      <c r="AJ13" s="337"/>
    </row>
    <row r="14" spans="1:36" ht="25.5">
      <c r="A14" s="338" t="s">
        <v>138</v>
      </c>
      <c r="B14" s="339"/>
      <c r="C14" s="339"/>
      <c r="D14" s="339"/>
      <c r="E14" s="339" t="s">
        <v>503</v>
      </c>
      <c r="F14" s="339"/>
      <c r="G14" s="339"/>
      <c r="H14" s="339"/>
      <c r="I14" s="340" t="s">
        <v>503</v>
      </c>
      <c r="J14" s="340"/>
      <c r="K14" s="340"/>
      <c r="L14" s="340"/>
      <c r="M14" s="340" t="s">
        <v>503</v>
      </c>
      <c r="N14" s="340" t="s">
        <v>503</v>
      </c>
      <c r="O14" s="340" t="s">
        <v>503</v>
      </c>
      <c r="P14" s="341"/>
      <c r="Q14" s="341"/>
      <c r="R14" s="341"/>
      <c r="S14" s="341"/>
      <c r="T14" s="341"/>
      <c r="U14" s="341"/>
      <c r="V14" s="341"/>
      <c r="W14" s="342"/>
      <c r="X14" s="342"/>
      <c r="Y14" s="342"/>
      <c r="Z14" s="342"/>
      <c r="AA14" s="342"/>
      <c r="AB14" s="342"/>
      <c r="AC14" s="342"/>
      <c r="AD14" s="343"/>
      <c r="AE14" s="343" t="s">
        <v>503</v>
      </c>
      <c r="AF14" s="343" t="s">
        <v>503</v>
      </c>
      <c r="AG14" s="343"/>
      <c r="AH14" s="337"/>
      <c r="AI14" s="337"/>
      <c r="AJ14" s="337"/>
    </row>
    <row r="15" spans="1:36" ht="38.25">
      <c r="A15" s="338" t="s">
        <v>52</v>
      </c>
      <c r="B15" s="339"/>
      <c r="C15" s="339"/>
      <c r="D15" s="339"/>
      <c r="E15" s="339" t="s">
        <v>503</v>
      </c>
      <c r="F15" s="339"/>
      <c r="G15" s="339"/>
      <c r="H15" s="339" t="s">
        <v>503</v>
      </c>
      <c r="I15" s="340"/>
      <c r="J15" s="340"/>
      <c r="K15" s="340"/>
      <c r="L15" s="340"/>
      <c r="M15" s="340" t="s">
        <v>503</v>
      </c>
      <c r="N15" s="340" t="s">
        <v>503</v>
      </c>
      <c r="O15" s="340"/>
      <c r="P15" s="341"/>
      <c r="Q15" s="341"/>
      <c r="R15" s="341"/>
      <c r="S15" s="341"/>
      <c r="T15" s="341"/>
      <c r="U15" s="341"/>
      <c r="V15" s="341"/>
      <c r="W15" s="342"/>
      <c r="X15" s="342"/>
      <c r="Y15" s="342"/>
      <c r="Z15" s="342"/>
      <c r="AA15" s="342"/>
      <c r="AB15" s="342"/>
      <c r="AC15" s="342"/>
      <c r="AD15" s="343" t="s">
        <v>503</v>
      </c>
      <c r="AE15" s="343" t="s">
        <v>503</v>
      </c>
      <c r="AF15" s="343" t="s">
        <v>503</v>
      </c>
      <c r="AG15" s="343"/>
      <c r="AH15" s="337"/>
      <c r="AI15" s="337"/>
      <c r="AJ15" s="337"/>
    </row>
    <row r="16" spans="1:36" ht="25.5">
      <c r="A16" s="338" t="s">
        <v>268</v>
      </c>
      <c r="B16" s="339"/>
      <c r="C16" s="339"/>
      <c r="D16" s="339"/>
      <c r="E16" s="339"/>
      <c r="F16" s="339"/>
      <c r="G16" s="339"/>
      <c r="H16" s="339"/>
      <c r="I16" s="340" t="s">
        <v>503</v>
      </c>
      <c r="J16" s="340"/>
      <c r="K16" s="340"/>
      <c r="L16" s="340" t="s">
        <v>503</v>
      </c>
      <c r="M16" s="340" t="s">
        <v>503</v>
      </c>
      <c r="N16" s="340" t="s">
        <v>503</v>
      </c>
      <c r="O16" s="340"/>
      <c r="P16" s="341"/>
      <c r="Q16" s="341"/>
      <c r="R16" s="341"/>
      <c r="S16" s="341"/>
      <c r="T16" s="341"/>
      <c r="U16" s="341"/>
      <c r="V16" s="341"/>
      <c r="W16" s="342"/>
      <c r="X16" s="342"/>
      <c r="Y16" s="342" t="s">
        <v>503</v>
      </c>
      <c r="Z16" s="342"/>
      <c r="AA16" s="342"/>
      <c r="AB16" s="342"/>
      <c r="AC16" s="342" t="s">
        <v>503</v>
      </c>
      <c r="AD16" s="343"/>
      <c r="AE16" s="343" t="s">
        <v>503</v>
      </c>
      <c r="AF16" s="343"/>
      <c r="AG16" s="343"/>
      <c r="AH16" s="337"/>
      <c r="AI16" s="337"/>
      <c r="AJ16" s="337"/>
    </row>
    <row r="17" spans="1:36" ht="25.5">
      <c r="A17" s="338" t="s">
        <v>270</v>
      </c>
      <c r="B17" s="339"/>
      <c r="C17" s="339"/>
      <c r="D17" s="339"/>
      <c r="E17" s="339"/>
      <c r="F17" s="339"/>
      <c r="G17" s="339"/>
      <c r="H17" s="339"/>
      <c r="I17" s="340" t="s">
        <v>503</v>
      </c>
      <c r="J17" s="340" t="s">
        <v>503</v>
      </c>
      <c r="K17" s="340" t="s">
        <v>503</v>
      </c>
      <c r="L17" s="340" t="s">
        <v>503</v>
      </c>
      <c r="M17" s="340" t="s">
        <v>503</v>
      </c>
      <c r="N17" s="340" t="s">
        <v>503</v>
      </c>
      <c r="O17" s="340" t="s">
        <v>503</v>
      </c>
      <c r="P17" s="341"/>
      <c r="Q17" s="341"/>
      <c r="R17" s="341"/>
      <c r="S17" s="341"/>
      <c r="T17" s="341"/>
      <c r="U17" s="341"/>
      <c r="V17" s="341"/>
      <c r="W17" s="342"/>
      <c r="X17" s="342"/>
      <c r="Y17" s="342"/>
      <c r="Z17" s="342"/>
      <c r="AA17" s="342"/>
      <c r="AB17" s="342"/>
      <c r="AC17" s="342"/>
      <c r="AD17" s="343"/>
      <c r="AE17" s="343"/>
      <c r="AF17" s="343"/>
      <c r="AG17" s="343"/>
      <c r="AH17" s="337"/>
      <c r="AI17" s="337"/>
      <c r="AJ17" s="337"/>
    </row>
    <row r="18" spans="1:36" ht="38.25">
      <c r="A18" s="338" t="s">
        <v>275</v>
      </c>
      <c r="B18" s="339"/>
      <c r="C18" s="339"/>
      <c r="D18" s="339"/>
      <c r="E18" s="339" t="s">
        <v>503</v>
      </c>
      <c r="F18" s="339" t="s">
        <v>503</v>
      </c>
      <c r="G18" s="339" t="s">
        <v>503</v>
      </c>
      <c r="H18" s="339"/>
      <c r="I18" s="340"/>
      <c r="J18" s="340"/>
      <c r="K18" s="340"/>
      <c r="L18" s="340"/>
      <c r="M18" s="340"/>
      <c r="N18" s="340"/>
      <c r="O18" s="340" t="s">
        <v>503</v>
      </c>
      <c r="P18" s="341"/>
      <c r="Q18" s="341"/>
      <c r="R18" s="341"/>
      <c r="S18" s="341"/>
      <c r="T18" s="341"/>
      <c r="U18" s="341"/>
      <c r="V18" s="341"/>
      <c r="W18" s="342"/>
      <c r="X18" s="342"/>
      <c r="Y18" s="342"/>
      <c r="Z18" s="342"/>
      <c r="AA18" s="342"/>
      <c r="AB18" s="342"/>
      <c r="AC18" s="342"/>
      <c r="AD18" s="343" t="s">
        <v>503</v>
      </c>
      <c r="AE18" s="343" t="s">
        <v>503</v>
      </c>
      <c r="AF18" s="343" t="s">
        <v>503</v>
      </c>
      <c r="AG18" s="343"/>
      <c r="AH18" s="337"/>
      <c r="AI18" s="337"/>
      <c r="AJ18" s="337"/>
    </row>
    <row r="19" spans="1:36" s="2" customFormat="1" ht="38.25">
      <c r="A19" s="338" t="s">
        <v>580</v>
      </c>
      <c r="B19" s="339"/>
      <c r="C19" s="339"/>
      <c r="D19" s="339"/>
      <c r="E19" s="339"/>
      <c r="F19" s="339"/>
      <c r="G19" s="339"/>
      <c r="H19" s="339"/>
      <c r="I19" s="340"/>
      <c r="J19" s="340"/>
      <c r="K19" s="340"/>
      <c r="L19" s="340"/>
      <c r="M19" s="340"/>
      <c r="N19" s="340" t="s">
        <v>503</v>
      </c>
      <c r="O19" s="340" t="s">
        <v>503</v>
      </c>
      <c r="P19" s="341"/>
      <c r="Q19" s="341"/>
      <c r="R19" s="341"/>
      <c r="S19" s="341"/>
      <c r="T19" s="341"/>
      <c r="U19" s="341"/>
      <c r="V19" s="341"/>
      <c r="W19" s="342"/>
      <c r="X19" s="342"/>
      <c r="Y19" s="342"/>
      <c r="Z19" s="342"/>
      <c r="AA19" s="342"/>
      <c r="AB19" s="342"/>
      <c r="AC19" s="342"/>
      <c r="AD19" s="343"/>
      <c r="AE19" s="343"/>
      <c r="AF19" s="343"/>
      <c r="AG19" s="343"/>
      <c r="AH19" s="337"/>
      <c r="AI19" s="337"/>
      <c r="AJ19" s="337"/>
    </row>
    <row r="20" spans="1:36" ht="38.25">
      <c r="A20" s="338" t="s">
        <v>32</v>
      </c>
      <c r="B20" s="344"/>
      <c r="C20" s="344"/>
      <c r="D20" s="339"/>
      <c r="E20" s="339"/>
      <c r="F20" s="339"/>
      <c r="G20" s="339"/>
      <c r="H20" s="339"/>
      <c r="I20" s="344"/>
      <c r="J20" s="344"/>
      <c r="K20" s="340"/>
      <c r="L20" s="340" t="s">
        <v>503</v>
      </c>
      <c r="M20" s="340" t="s">
        <v>503</v>
      </c>
      <c r="N20" s="340"/>
      <c r="O20" s="340"/>
      <c r="P20" s="344"/>
      <c r="Q20" s="344"/>
      <c r="R20" s="341"/>
      <c r="S20" s="341"/>
      <c r="T20" s="341"/>
      <c r="U20" s="341" t="s">
        <v>503</v>
      </c>
      <c r="V20" s="341" t="s">
        <v>503</v>
      </c>
      <c r="W20" s="344"/>
      <c r="X20" s="344"/>
      <c r="Y20" s="342"/>
      <c r="Z20" s="342"/>
      <c r="AA20" s="342"/>
      <c r="AB20" s="342"/>
      <c r="AC20" s="342"/>
      <c r="AD20" s="344"/>
      <c r="AE20" s="344"/>
      <c r="AF20" s="343" t="s">
        <v>503</v>
      </c>
      <c r="AG20" s="343"/>
      <c r="AH20" s="337"/>
      <c r="AI20" s="337"/>
      <c r="AJ20" s="337"/>
    </row>
    <row r="21" spans="1:36" s="2" customFormat="1" ht="50.25" customHeight="1">
      <c r="A21" s="338" t="s">
        <v>505</v>
      </c>
      <c r="B21" s="344"/>
      <c r="C21" s="344"/>
      <c r="D21" s="344"/>
      <c r="E21" s="344"/>
      <c r="F21" s="339"/>
      <c r="G21" s="339"/>
      <c r="H21" s="339" t="s">
        <v>503</v>
      </c>
      <c r="I21" s="344"/>
      <c r="J21" s="344"/>
      <c r="K21" s="344"/>
      <c r="L21" s="344"/>
      <c r="M21" s="340" t="s">
        <v>503</v>
      </c>
      <c r="N21" s="340" t="s">
        <v>503</v>
      </c>
      <c r="O21" s="340"/>
      <c r="P21" s="344"/>
      <c r="Q21" s="344"/>
      <c r="R21" s="344"/>
      <c r="S21" s="344"/>
      <c r="T21" s="341"/>
      <c r="U21" s="341"/>
      <c r="V21" s="341"/>
      <c r="W21" s="344"/>
      <c r="X21" s="344"/>
      <c r="Y21" s="344"/>
      <c r="Z21" s="344"/>
      <c r="AA21" s="342"/>
      <c r="AB21" s="342"/>
      <c r="AC21" s="342"/>
      <c r="AD21" s="344"/>
      <c r="AE21" s="344"/>
      <c r="AF21" s="344"/>
      <c r="AG21" s="344"/>
      <c r="AH21" s="337"/>
      <c r="AI21" s="337"/>
      <c r="AJ21" s="337"/>
    </row>
    <row r="22" spans="1:36" ht="25.5">
      <c r="A22" s="338" t="s">
        <v>504</v>
      </c>
      <c r="B22" s="339"/>
      <c r="C22" s="344"/>
      <c r="D22" s="344"/>
      <c r="E22" s="344"/>
      <c r="F22" s="344"/>
      <c r="G22" s="344"/>
      <c r="H22" s="344"/>
      <c r="I22" s="340"/>
      <c r="J22" s="344"/>
      <c r="K22" s="344"/>
      <c r="L22" s="344"/>
      <c r="M22" s="344"/>
      <c r="N22" s="344"/>
      <c r="O22" s="344"/>
      <c r="P22" s="341"/>
      <c r="Q22" s="344"/>
      <c r="R22" s="344"/>
      <c r="S22" s="344"/>
      <c r="T22" s="344"/>
      <c r="U22" s="344"/>
      <c r="V22" s="344"/>
      <c r="W22" s="342"/>
      <c r="X22" s="344"/>
      <c r="Y22" s="344"/>
      <c r="Z22" s="344"/>
      <c r="AA22" s="344"/>
      <c r="AB22" s="344"/>
      <c r="AC22" s="344"/>
      <c r="AD22" s="343" t="s">
        <v>503</v>
      </c>
      <c r="AE22" s="344"/>
      <c r="AF22" s="344"/>
      <c r="AG22" s="344"/>
      <c r="AH22" s="337"/>
      <c r="AI22" s="337"/>
      <c r="AJ22" s="337"/>
    </row>
  </sheetData>
  <mergeCells count="5">
    <mergeCell ref="B1:H1"/>
    <mergeCell ref="I1:O1"/>
    <mergeCell ref="P1:V1"/>
    <mergeCell ref="W1:AC1"/>
    <mergeCell ref="AD1:AJ1"/>
  </mergeCells>
  <pageMargins left="0.7" right="0.7" top="0.75" bottom="0.75" header="0.3" footer="0.3"/>
  <pageSetup paperSize="9"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view="pageBreakPreview" zoomScaleNormal="100" zoomScaleSheetLayoutView="100" workbookViewId="0">
      <pane ySplit="6" topLeftCell="A7" activePane="bottomLeft" state="frozen"/>
      <selection pane="bottomLeft" activeCell="J7" sqref="J7"/>
    </sheetView>
  </sheetViews>
  <sheetFormatPr defaultRowHeight="15"/>
  <cols>
    <col min="1" max="1" width="5.140625" customWidth="1"/>
    <col min="2" max="2" width="45.7109375" customWidth="1"/>
    <col min="3" max="3" width="6.85546875" customWidth="1"/>
    <col min="4" max="4" width="9.140625" style="2"/>
    <col min="5" max="5" width="7.5703125" customWidth="1"/>
    <col min="6" max="6" width="8.140625" style="42" customWidth="1"/>
    <col min="7" max="7" width="7.85546875" style="42" customWidth="1"/>
    <col min="8" max="8" width="20.140625" customWidth="1"/>
    <col min="9" max="9" width="9" customWidth="1"/>
    <col min="10" max="10" width="14.85546875" style="2" customWidth="1"/>
    <col min="11" max="11" width="15.140625" style="2" customWidth="1"/>
    <col min="12" max="12" width="6.85546875" style="2" customWidth="1"/>
    <col min="13" max="13" width="13" style="2" customWidth="1"/>
    <col min="14" max="14" width="10" customWidth="1"/>
    <col min="15" max="15" width="15.140625" customWidth="1"/>
  </cols>
  <sheetData>
    <row r="1" spans="1:15" s="2" customFormat="1">
      <c r="F1" s="42"/>
      <c r="G1" s="42"/>
    </row>
    <row r="2" spans="1:15" ht="18.75">
      <c r="A2" s="565" t="s">
        <v>578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</row>
    <row r="3" spans="1:15" s="2" customFormat="1" ht="27.75" customHeight="1">
      <c r="A3" s="518" t="s">
        <v>1</v>
      </c>
      <c r="B3" s="518" t="s">
        <v>2</v>
      </c>
      <c r="C3" s="518" t="s">
        <v>3</v>
      </c>
      <c r="D3" s="518" t="s">
        <v>405</v>
      </c>
      <c r="E3" s="536" t="s">
        <v>108</v>
      </c>
      <c r="F3" s="536"/>
      <c r="G3" s="536"/>
      <c r="H3" s="536"/>
      <c r="I3" s="536"/>
      <c r="J3" s="536" t="s">
        <v>107</v>
      </c>
      <c r="K3" s="536"/>
      <c r="L3" s="536"/>
      <c r="M3" s="533" t="s">
        <v>415</v>
      </c>
      <c r="N3" s="518" t="s">
        <v>399</v>
      </c>
      <c r="O3" s="518" t="s">
        <v>402</v>
      </c>
    </row>
    <row r="4" spans="1:15" ht="15" customHeight="1">
      <c r="A4" s="539"/>
      <c r="B4" s="539"/>
      <c r="C4" s="539"/>
      <c r="D4" s="539"/>
      <c r="E4" s="518" t="s">
        <v>589</v>
      </c>
      <c r="F4" s="540" t="s">
        <v>588</v>
      </c>
      <c r="G4" s="541"/>
      <c r="H4" s="541"/>
      <c r="I4" s="542"/>
      <c r="J4" s="516" t="s">
        <v>590</v>
      </c>
      <c r="K4" s="516"/>
      <c r="L4" s="516"/>
      <c r="M4" s="534"/>
      <c r="N4" s="539"/>
      <c r="O4" s="539"/>
    </row>
    <row r="5" spans="1:15" ht="51" customHeight="1">
      <c r="A5" s="539"/>
      <c r="B5" s="539"/>
      <c r="C5" s="539"/>
      <c r="D5" s="539"/>
      <c r="E5" s="539"/>
      <c r="F5" s="543" t="s">
        <v>4</v>
      </c>
      <c r="G5" s="543" t="s">
        <v>5</v>
      </c>
      <c r="H5" s="516" t="s">
        <v>400</v>
      </c>
      <c r="I5" s="518" t="s">
        <v>401</v>
      </c>
      <c r="J5" s="516" t="s">
        <v>4</v>
      </c>
      <c r="K5" s="516" t="s">
        <v>5</v>
      </c>
      <c r="L5" s="516" t="s">
        <v>6</v>
      </c>
      <c r="M5" s="534"/>
      <c r="N5" s="539"/>
      <c r="O5" s="539"/>
    </row>
    <row r="6" spans="1:15" ht="20.25" customHeight="1">
      <c r="A6" s="519"/>
      <c r="B6" s="519"/>
      <c r="C6" s="519"/>
      <c r="D6" s="519"/>
      <c r="E6" s="519"/>
      <c r="F6" s="543"/>
      <c r="G6" s="543"/>
      <c r="H6" s="516"/>
      <c r="I6" s="519"/>
      <c r="J6" s="516"/>
      <c r="K6" s="516"/>
      <c r="L6" s="516"/>
      <c r="M6" s="535"/>
      <c r="N6" s="519"/>
      <c r="O6" s="519"/>
    </row>
    <row r="7" spans="1:15" ht="15.75">
      <c r="A7" s="36"/>
      <c r="B7" s="553" t="s">
        <v>106</v>
      </c>
      <c r="C7" s="554"/>
      <c r="D7" s="554"/>
      <c r="E7" s="554"/>
      <c r="F7" s="554"/>
      <c r="G7" s="554"/>
      <c r="H7" s="554"/>
      <c r="I7" s="554"/>
      <c r="J7" s="150">
        <v>2417524.2000000002</v>
      </c>
      <c r="K7" s="189">
        <v>2369679.2999999998</v>
      </c>
      <c r="L7" s="257">
        <f>K7/J7*100</f>
        <v>98.020913296338435</v>
      </c>
      <c r="M7" s="60" t="s">
        <v>133</v>
      </c>
      <c r="N7" s="203">
        <f>AVERAGE(H9:H11)</f>
        <v>1</v>
      </c>
      <c r="O7" s="203">
        <f>SUM(I14:I32,I35:I37,I40:I42)</f>
        <v>0.92527209586056669</v>
      </c>
    </row>
    <row r="8" spans="1:15" ht="15" customHeight="1">
      <c r="A8" s="25"/>
      <c r="B8" s="562" t="s">
        <v>53</v>
      </c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  <c r="N8" s="562"/>
      <c r="O8" s="562"/>
    </row>
    <row r="9" spans="1:15" ht="38.25">
      <c r="A9" s="22">
        <v>1</v>
      </c>
      <c r="B9" s="28" t="s">
        <v>54</v>
      </c>
      <c r="C9" s="241" t="s">
        <v>0</v>
      </c>
      <c r="D9" s="158" t="s">
        <v>31</v>
      </c>
      <c r="E9" s="255">
        <v>91.5</v>
      </c>
      <c r="F9" s="256">
        <v>91.5</v>
      </c>
      <c r="G9" s="256">
        <v>100</v>
      </c>
      <c r="H9" s="161">
        <v>1</v>
      </c>
      <c r="I9" s="38" t="s">
        <v>133</v>
      </c>
      <c r="J9" s="38" t="s">
        <v>133</v>
      </c>
      <c r="K9" s="38" t="s">
        <v>133</v>
      </c>
      <c r="L9" s="38" t="s">
        <v>133</v>
      </c>
      <c r="M9" s="38" t="s">
        <v>133</v>
      </c>
      <c r="N9" s="38" t="s">
        <v>133</v>
      </c>
      <c r="O9" s="38" t="s">
        <v>133</v>
      </c>
    </row>
    <row r="10" spans="1:15" ht="102.75">
      <c r="A10" s="22">
        <v>2</v>
      </c>
      <c r="B10" s="29" t="s">
        <v>55</v>
      </c>
      <c r="C10" s="241" t="s">
        <v>0</v>
      </c>
      <c r="D10" s="158" t="s">
        <v>31</v>
      </c>
      <c r="E10" s="255">
        <v>99</v>
      </c>
      <c r="F10" s="256">
        <v>99</v>
      </c>
      <c r="G10" s="256">
        <v>100</v>
      </c>
      <c r="H10" s="161">
        <v>1</v>
      </c>
      <c r="I10" s="38" t="s">
        <v>133</v>
      </c>
      <c r="J10" s="38" t="s">
        <v>133</v>
      </c>
      <c r="K10" s="38" t="s">
        <v>133</v>
      </c>
      <c r="L10" s="38" t="s">
        <v>133</v>
      </c>
      <c r="M10" s="38" t="s">
        <v>133</v>
      </c>
      <c r="N10" s="38" t="s">
        <v>133</v>
      </c>
      <c r="O10" s="38" t="s">
        <v>133</v>
      </c>
    </row>
    <row r="11" spans="1:15" ht="63.75">
      <c r="A11" s="22">
        <v>3</v>
      </c>
      <c r="B11" s="30" t="s">
        <v>56</v>
      </c>
      <c r="C11" s="241" t="s">
        <v>0</v>
      </c>
      <c r="D11" s="158" t="s">
        <v>31</v>
      </c>
      <c r="E11" s="255">
        <v>1</v>
      </c>
      <c r="F11" s="256">
        <v>1</v>
      </c>
      <c r="G11" s="256">
        <v>1</v>
      </c>
      <c r="H11" s="161">
        <f t="shared" ref="H11" si="0">G11/F11</f>
        <v>1</v>
      </c>
      <c r="I11" s="38" t="s">
        <v>133</v>
      </c>
      <c r="J11" s="38" t="s">
        <v>133</v>
      </c>
      <c r="K11" s="38" t="s">
        <v>133</v>
      </c>
      <c r="L11" s="38" t="s">
        <v>133</v>
      </c>
      <c r="M11" s="38" t="s">
        <v>133</v>
      </c>
      <c r="N11" s="38" t="s">
        <v>133</v>
      </c>
      <c r="O11" s="38" t="s">
        <v>133</v>
      </c>
    </row>
    <row r="12" spans="1:15" ht="18.75" customHeight="1">
      <c r="A12" s="25"/>
      <c r="B12" s="563" t="s">
        <v>57</v>
      </c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4"/>
    </row>
    <row r="13" spans="1:15" ht="15.75">
      <c r="A13" s="25"/>
      <c r="B13" s="553" t="s">
        <v>58</v>
      </c>
      <c r="C13" s="554"/>
      <c r="D13" s="554"/>
      <c r="E13" s="554"/>
      <c r="F13" s="554"/>
      <c r="G13" s="554"/>
      <c r="H13" s="554"/>
      <c r="I13" s="554"/>
      <c r="J13" s="189">
        <v>2351803.7000000002</v>
      </c>
      <c r="K13" s="189">
        <v>2304747.5</v>
      </c>
      <c r="L13" s="253">
        <f>K13/J13*100</f>
        <v>97.999144231297862</v>
      </c>
      <c r="M13" s="425">
        <f>AVERAGE(H14:H32)</f>
        <v>0.90167381034285055</v>
      </c>
      <c r="N13" s="45"/>
      <c r="O13" s="45"/>
    </row>
    <row r="14" spans="1:15" ht="63.75">
      <c r="A14" s="31" t="s">
        <v>59</v>
      </c>
      <c r="B14" s="32" t="s">
        <v>56</v>
      </c>
      <c r="C14" s="241" t="s">
        <v>0</v>
      </c>
      <c r="D14" s="244">
        <v>0.04</v>
      </c>
      <c r="E14" s="213">
        <v>1</v>
      </c>
      <c r="F14" s="245">
        <v>1</v>
      </c>
      <c r="G14" s="245">
        <v>1</v>
      </c>
      <c r="H14" s="161">
        <f>G14/F14</f>
        <v>1</v>
      </c>
      <c r="I14" s="141">
        <f>H14*D14</f>
        <v>0.04</v>
      </c>
      <c r="J14" s="37" t="s">
        <v>133</v>
      </c>
      <c r="K14" s="158" t="s">
        <v>31</v>
      </c>
      <c r="L14" s="158" t="s">
        <v>31</v>
      </c>
      <c r="M14" s="158" t="s">
        <v>31</v>
      </c>
      <c r="N14" s="37"/>
      <c r="O14" s="37"/>
    </row>
    <row r="15" spans="1:15" ht="38.25">
      <c r="A15" s="31" t="s">
        <v>60</v>
      </c>
      <c r="B15" s="32" t="s">
        <v>61</v>
      </c>
      <c r="C15" s="66" t="s">
        <v>591</v>
      </c>
      <c r="D15" s="244">
        <v>0.04</v>
      </c>
      <c r="E15" s="213">
        <v>806</v>
      </c>
      <c r="F15" s="246">
        <v>806</v>
      </c>
      <c r="G15" s="246">
        <v>806</v>
      </c>
      <c r="H15" s="161">
        <f t="shared" ref="H15:H32" si="1">G15/F15</f>
        <v>1</v>
      </c>
      <c r="I15" s="141">
        <f t="shared" ref="I15:I32" si="2">H15*D15</f>
        <v>0.04</v>
      </c>
      <c r="J15" s="37" t="s">
        <v>133</v>
      </c>
      <c r="K15" s="37" t="s">
        <v>133</v>
      </c>
      <c r="L15" s="37" t="s">
        <v>133</v>
      </c>
      <c r="M15" s="37" t="s">
        <v>133</v>
      </c>
      <c r="N15" s="37"/>
      <c r="O15" s="37"/>
    </row>
    <row r="16" spans="1:15" ht="89.25">
      <c r="A16" s="31" t="s">
        <v>62</v>
      </c>
      <c r="B16" s="32" t="s">
        <v>63</v>
      </c>
      <c r="C16" s="241" t="s">
        <v>0</v>
      </c>
      <c r="D16" s="244">
        <v>0.04</v>
      </c>
      <c r="E16" s="213">
        <v>99</v>
      </c>
      <c r="F16" s="247">
        <v>99</v>
      </c>
      <c r="G16" s="217">
        <v>99</v>
      </c>
      <c r="H16" s="161">
        <f t="shared" si="1"/>
        <v>1</v>
      </c>
      <c r="I16" s="141">
        <f t="shared" si="2"/>
        <v>0.04</v>
      </c>
      <c r="J16" s="37" t="s">
        <v>133</v>
      </c>
      <c r="K16" s="37" t="s">
        <v>133</v>
      </c>
      <c r="L16" s="37" t="s">
        <v>133</v>
      </c>
      <c r="M16" s="37" t="s">
        <v>133</v>
      </c>
      <c r="N16" s="37"/>
      <c r="O16" s="37"/>
    </row>
    <row r="17" spans="1:15" ht="89.25">
      <c r="A17" s="31" t="s">
        <v>64</v>
      </c>
      <c r="B17" s="32" t="s">
        <v>65</v>
      </c>
      <c r="C17" s="241" t="s">
        <v>0</v>
      </c>
      <c r="D17" s="244">
        <v>0.04</v>
      </c>
      <c r="E17" s="213">
        <v>100</v>
      </c>
      <c r="F17" s="247">
        <v>100</v>
      </c>
      <c r="G17" s="247">
        <v>100</v>
      </c>
      <c r="H17" s="161">
        <f t="shared" si="1"/>
        <v>1</v>
      </c>
      <c r="I17" s="141">
        <f t="shared" si="2"/>
        <v>0.04</v>
      </c>
      <c r="J17" s="37" t="s">
        <v>133</v>
      </c>
      <c r="K17" s="37" t="s">
        <v>133</v>
      </c>
      <c r="L17" s="37" t="s">
        <v>133</v>
      </c>
      <c r="M17" s="37" t="s">
        <v>133</v>
      </c>
      <c r="N17" s="37"/>
      <c r="O17" s="37"/>
    </row>
    <row r="18" spans="1:15" ht="114.75">
      <c r="A18" s="31" t="s">
        <v>66</v>
      </c>
      <c r="B18" s="32" t="s">
        <v>67</v>
      </c>
      <c r="C18" s="72" t="s">
        <v>0</v>
      </c>
      <c r="D18" s="244">
        <v>0.04</v>
      </c>
      <c r="E18" s="480">
        <v>22.73</v>
      </c>
      <c r="F18" s="481">
        <v>18.52</v>
      </c>
      <c r="G18" s="480">
        <v>37.5</v>
      </c>
      <c r="H18" s="161">
        <f>F18/G18</f>
        <v>0.49386666666666668</v>
      </c>
      <c r="I18" s="143">
        <f t="shared" si="2"/>
        <v>1.9754666666666667E-2</v>
      </c>
      <c r="J18" s="37" t="s">
        <v>133</v>
      </c>
      <c r="K18" s="37" t="s">
        <v>133</v>
      </c>
      <c r="L18" s="37" t="s">
        <v>133</v>
      </c>
      <c r="M18" s="37" t="s">
        <v>133</v>
      </c>
      <c r="N18" s="37"/>
      <c r="O18" s="37"/>
    </row>
    <row r="19" spans="1:15" ht="89.25">
      <c r="A19" s="31" t="s">
        <v>68</v>
      </c>
      <c r="B19" s="32" t="s">
        <v>69</v>
      </c>
      <c r="C19" s="72" t="s">
        <v>0</v>
      </c>
      <c r="D19" s="244">
        <v>0.04</v>
      </c>
      <c r="E19" s="213">
        <v>60</v>
      </c>
      <c r="F19" s="217">
        <v>59</v>
      </c>
      <c r="G19" s="217">
        <v>59</v>
      </c>
      <c r="H19" s="161">
        <f t="shared" si="1"/>
        <v>1</v>
      </c>
      <c r="I19" s="141">
        <f t="shared" si="2"/>
        <v>0.04</v>
      </c>
      <c r="J19" s="37" t="s">
        <v>133</v>
      </c>
      <c r="K19" s="37" t="s">
        <v>133</v>
      </c>
      <c r="L19" s="37" t="s">
        <v>133</v>
      </c>
      <c r="M19" s="37" t="s">
        <v>133</v>
      </c>
      <c r="N19" s="37"/>
      <c r="O19" s="37"/>
    </row>
    <row r="20" spans="1:15" ht="38.25">
      <c r="A20" s="31" t="s">
        <v>70</v>
      </c>
      <c r="B20" s="32" t="s">
        <v>71</v>
      </c>
      <c r="C20" s="72" t="s">
        <v>0</v>
      </c>
      <c r="D20" s="244">
        <v>0.04</v>
      </c>
      <c r="E20" s="213">
        <v>100</v>
      </c>
      <c r="F20" s="248">
        <v>100</v>
      </c>
      <c r="G20" s="248">
        <v>100</v>
      </c>
      <c r="H20" s="161">
        <f t="shared" si="1"/>
        <v>1</v>
      </c>
      <c r="I20" s="141">
        <f t="shared" si="2"/>
        <v>0.04</v>
      </c>
      <c r="J20" s="37" t="s">
        <v>133</v>
      </c>
      <c r="K20" s="37" t="s">
        <v>133</v>
      </c>
      <c r="L20" s="37" t="s">
        <v>133</v>
      </c>
      <c r="M20" s="37" t="s">
        <v>133</v>
      </c>
      <c r="N20" s="37"/>
      <c r="O20" s="37"/>
    </row>
    <row r="21" spans="1:15" ht="76.5">
      <c r="A21" s="31" t="s">
        <v>72</v>
      </c>
      <c r="B21" s="32" t="s">
        <v>73</v>
      </c>
      <c r="C21" s="72" t="s">
        <v>0</v>
      </c>
      <c r="D21" s="244">
        <v>0.04</v>
      </c>
      <c r="E21" s="213">
        <v>9.6999999999999993</v>
      </c>
      <c r="F21" s="217">
        <v>9.6999999999999993</v>
      </c>
      <c r="G21" s="217">
        <v>9.6999999999999993</v>
      </c>
      <c r="H21" s="161">
        <f t="shared" si="1"/>
        <v>1</v>
      </c>
      <c r="I21" s="141">
        <f t="shared" si="2"/>
        <v>0.04</v>
      </c>
      <c r="J21" s="37" t="s">
        <v>133</v>
      </c>
      <c r="K21" s="37" t="s">
        <v>133</v>
      </c>
      <c r="L21" s="37" t="s">
        <v>133</v>
      </c>
      <c r="M21" s="37" t="s">
        <v>133</v>
      </c>
      <c r="N21" s="37"/>
      <c r="O21" s="37"/>
    </row>
    <row r="22" spans="1:15" ht="51">
      <c r="A22" s="31" t="s">
        <v>74</v>
      </c>
      <c r="B22" s="32" t="s">
        <v>75</v>
      </c>
      <c r="C22" s="242" t="s">
        <v>0</v>
      </c>
      <c r="D22" s="244">
        <v>0.04</v>
      </c>
      <c r="E22" s="213">
        <v>100</v>
      </c>
      <c r="F22" s="249">
        <v>100</v>
      </c>
      <c r="G22" s="249">
        <v>100</v>
      </c>
      <c r="H22" s="161">
        <f t="shared" si="1"/>
        <v>1</v>
      </c>
      <c r="I22" s="141">
        <f t="shared" si="2"/>
        <v>0.04</v>
      </c>
      <c r="J22" s="37" t="s">
        <v>133</v>
      </c>
      <c r="K22" s="37" t="s">
        <v>133</v>
      </c>
      <c r="L22" s="37" t="s">
        <v>133</v>
      </c>
      <c r="M22" s="37" t="s">
        <v>133</v>
      </c>
      <c r="N22" s="37"/>
      <c r="O22" s="37"/>
    </row>
    <row r="23" spans="1:15" ht="63.75">
      <c r="A23" s="31" t="s">
        <v>76</v>
      </c>
      <c r="B23" s="32" t="s">
        <v>77</v>
      </c>
      <c r="C23" s="242" t="s">
        <v>0</v>
      </c>
      <c r="D23" s="244">
        <v>0.04</v>
      </c>
      <c r="E23" s="213">
        <v>100</v>
      </c>
      <c r="F23" s="249">
        <v>100</v>
      </c>
      <c r="G23" s="249">
        <v>100</v>
      </c>
      <c r="H23" s="161">
        <f t="shared" si="1"/>
        <v>1</v>
      </c>
      <c r="I23" s="141">
        <f t="shared" si="2"/>
        <v>0.04</v>
      </c>
      <c r="J23" s="37" t="s">
        <v>133</v>
      </c>
      <c r="K23" s="37" t="s">
        <v>133</v>
      </c>
      <c r="L23" s="37" t="s">
        <v>133</v>
      </c>
      <c r="M23" s="37" t="s">
        <v>133</v>
      </c>
      <c r="N23" s="37"/>
      <c r="O23" s="37"/>
    </row>
    <row r="24" spans="1:15" ht="63.75">
      <c r="A24" s="31" t="s">
        <v>78</v>
      </c>
      <c r="B24" s="33" t="s">
        <v>79</v>
      </c>
      <c r="C24" s="241" t="s">
        <v>0</v>
      </c>
      <c r="D24" s="244">
        <v>0.04</v>
      </c>
      <c r="E24" s="213">
        <v>56.04</v>
      </c>
      <c r="F24" s="250">
        <v>68.25</v>
      </c>
      <c r="G24" s="217">
        <v>69.69</v>
      </c>
      <c r="H24" s="161">
        <v>1</v>
      </c>
      <c r="I24" s="141">
        <f t="shared" si="2"/>
        <v>0.04</v>
      </c>
      <c r="J24" s="37" t="s">
        <v>133</v>
      </c>
      <c r="K24" s="37" t="s">
        <v>133</v>
      </c>
      <c r="L24" s="37" t="s">
        <v>133</v>
      </c>
      <c r="M24" s="37" t="s">
        <v>133</v>
      </c>
      <c r="N24" s="37"/>
      <c r="O24" s="37"/>
    </row>
    <row r="25" spans="1:15" ht="25.5">
      <c r="A25" s="31" t="s">
        <v>80</v>
      </c>
      <c r="B25" s="34" t="s">
        <v>531</v>
      </c>
      <c r="C25" s="243" t="s">
        <v>0</v>
      </c>
      <c r="D25" s="244">
        <v>0.04</v>
      </c>
      <c r="E25" s="213">
        <v>120</v>
      </c>
      <c r="F25" s="466">
        <v>120</v>
      </c>
      <c r="G25" s="217">
        <v>26</v>
      </c>
      <c r="H25" s="161">
        <f t="shared" si="1"/>
        <v>0.21666666666666667</v>
      </c>
      <c r="I25" s="143">
        <f t="shared" si="2"/>
        <v>8.666666666666668E-3</v>
      </c>
      <c r="J25" s="37" t="s">
        <v>133</v>
      </c>
      <c r="K25" s="37" t="s">
        <v>133</v>
      </c>
      <c r="L25" s="37" t="s">
        <v>133</v>
      </c>
      <c r="M25" s="37" t="s">
        <v>133</v>
      </c>
      <c r="N25" s="37"/>
      <c r="O25" s="37"/>
    </row>
    <row r="26" spans="1:15" ht="76.5">
      <c r="A26" s="31" t="s">
        <v>81</v>
      </c>
      <c r="B26" s="33" t="s">
        <v>82</v>
      </c>
      <c r="C26" s="241" t="s">
        <v>0</v>
      </c>
      <c r="D26" s="244">
        <v>0.04</v>
      </c>
      <c r="E26" s="213">
        <v>80</v>
      </c>
      <c r="F26" s="250">
        <v>80</v>
      </c>
      <c r="G26" s="250">
        <v>71</v>
      </c>
      <c r="H26" s="161">
        <f t="shared" si="1"/>
        <v>0.88749999999999996</v>
      </c>
      <c r="I26" s="141">
        <f t="shared" si="2"/>
        <v>3.5499999999999997E-2</v>
      </c>
      <c r="J26" s="37" t="s">
        <v>133</v>
      </c>
      <c r="K26" s="37" t="s">
        <v>133</v>
      </c>
      <c r="L26" s="37" t="s">
        <v>133</v>
      </c>
      <c r="M26" s="37" t="s">
        <v>133</v>
      </c>
      <c r="N26" s="37"/>
      <c r="O26" s="37"/>
    </row>
    <row r="27" spans="1:15" ht="51">
      <c r="A27" s="31" t="s">
        <v>83</v>
      </c>
      <c r="B27" s="33" t="s">
        <v>84</v>
      </c>
      <c r="C27" s="241" t="s">
        <v>9</v>
      </c>
      <c r="D27" s="244">
        <v>0.04</v>
      </c>
      <c r="E27" s="213">
        <v>30</v>
      </c>
      <c r="F27" s="250">
        <v>30</v>
      </c>
      <c r="G27" s="217">
        <v>30</v>
      </c>
      <c r="H27" s="161">
        <f t="shared" si="1"/>
        <v>1</v>
      </c>
      <c r="I27" s="141">
        <f t="shared" si="2"/>
        <v>0.04</v>
      </c>
      <c r="J27" s="37" t="s">
        <v>133</v>
      </c>
      <c r="K27" s="37" t="s">
        <v>133</v>
      </c>
      <c r="L27" s="37" t="s">
        <v>133</v>
      </c>
      <c r="M27" s="37" t="s">
        <v>133</v>
      </c>
      <c r="N27" s="37"/>
      <c r="O27" s="37"/>
    </row>
    <row r="28" spans="1:15">
      <c r="A28" s="31" t="s">
        <v>85</v>
      </c>
      <c r="B28" s="33" t="s">
        <v>87</v>
      </c>
      <c r="C28" s="72" t="s">
        <v>0</v>
      </c>
      <c r="D28" s="244">
        <v>0.04</v>
      </c>
      <c r="E28" s="213">
        <v>30</v>
      </c>
      <c r="F28" s="251">
        <v>65</v>
      </c>
      <c r="G28" s="217">
        <v>65</v>
      </c>
      <c r="H28" s="161">
        <f t="shared" si="1"/>
        <v>1</v>
      </c>
      <c r="I28" s="141">
        <f t="shared" si="2"/>
        <v>0.04</v>
      </c>
      <c r="J28" s="37" t="s">
        <v>133</v>
      </c>
      <c r="K28" s="37" t="s">
        <v>133</v>
      </c>
      <c r="L28" s="37" t="s">
        <v>133</v>
      </c>
      <c r="M28" s="37" t="s">
        <v>133</v>
      </c>
      <c r="N28" s="37"/>
      <c r="O28" s="37"/>
    </row>
    <row r="29" spans="1:15" ht="25.5">
      <c r="A29" s="31" t="s">
        <v>86</v>
      </c>
      <c r="B29" s="33" t="s">
        <v>89</v>
      </c>
      <c r="C29" s="72" t="s">
        <v>0</v>
      </c>
      <c r="D29" s="244">
        <v>0.04</v>
      </c>
      <c r="E29" s="213">
        <v>5</v>
      </c>
      <c r="F29" s="252">
        <v>5</v>
      </c>
      <c r="G29" s="217">
        <v>0.03</v>
      </c>
      <c r="H29" s="161">
        <v>1</v>
      </c>
      <c r="I29" s="141">
        <f t="shared" si="2"/>
        <v>0.04</v>
      </c>
      <c r="J29" s="37" t="s">
        <v>133</v>
      </c>
      <c r="K29" s="37" t="s">
        <v>133</v>
      </c>
      <c r="L29" s="37" t="s">
        <v>133</v>
      </c>
      <c r="M29" s="37" t="s">
        <v>133</v>
      </c>
      <c r="N29" s="37"/>
      <c r="O29" s="37"/>
    </row>
    <row r="30" spans="1:15" ht="38.25">
      <c r="A30" s="31" t="s">
        <v>88</v>
      </c>
      <c r="B30" s="33" t="s">
        <v>91</v>
      </c>
      <c r="C30" s="72" t="s">
        <v>0</v>
      </c>
      <c r="D30" s="244">
        <v>0.04</v>
      </c>
      <c r="E30" s="213">
        <v>4</v>
      </c>
      <c r="F30" s="252">
        <v>4</v>
      </c>
      <c r="G30" s="217">
        <v>4</v>
      </c>
      <c r="H30" s="161">
        <f t="shared" si="1"/>
        <v>1</v>
      </c>
      <c r="I30" s="141">
        <f t="shared" si="2"/>
        <v>0.04</v>
      </c>
      <c r="J30" s="37" t="s">
        <v>133</v>
      </c>
      <c r="K30" s="37" t="s">
        <v>133</v>
      </c>
      <c r="L30" s="37" t="s">
        <v>133</v>
      </c>
      <c r="M30" s="37" t="s">
        <v>133</v>
      </c>
      <c r="N30" s="37"/>
      <c r="O30" s="37"/>
    </row>
    <row r="31" spans="1:15" ht="25.5">
      <c r="A31" s="31" t="s">
        <v>90</v>
      </c>
      <c r="B31" s="33" t="s">
        <v>93</v>
      </c>
      <c r="C31" s="72" t="s">
        <v>9</v>
      </c>
      <c r="D31" s="244">
        <v>0.04</v>
      </c>
      <c r="E31" s="213">
        <v>85</v>
      </c>
      <c r="F31" s="252">
        <v>85</v>
      </c>
      <c r="G31" s="217">
        <v>85</v>
      </c>
      <c r="H31" s="161">
        <f t="shared" si="1"/>
        <v>1</v>
      </c>
      <c r="I31" s="143">
        <f t="shared" si="2"/>
        <v>0.04</v>
      </c>
      <c r="J31" s="37" t="s">
        <v>133</v>
      </c>
      <c r="K31" s="37" t="s">
        <v>133</v>
      </c>
      <c r="L31" s="37" t="s">
        <v>133</v>
      </c>
      <c r="M31" s="37" t="s">
        <v>133</v>
      </c>
      <c r="N31" s="37"/>
      <c r="O31" s="37"/>
    </row>
    <row r="32" spans="1:15" s="2" customFormat="1" ht="51">
      <c r="A32" s="31" t="s">
        <v>92</v>
      </c>
      <c r="B32" s="439" t="s">
        <v>530</v>
      </c>
      <c r="C32" s="72" t="s">
        <v>9</v>
      </c>
      <c r="D32" s="441">
        <v>0.04</v>
      </c>
      <c r="E32" s="213">
        <v>3.68</v>
      </c>
      <c r="F32" s="252">
        <v>4.59</v>
      </c>
      <c r="G32" s="440">
        <v>2.4500000000000002</v>
      </c>
      <c r="H32" s="161">
        <f t="shared" si="1"/>
        <v>0.53376906318082795</v>
      </c>
      <c r="I32" s="143">
        <f t="shared" si="2"/>
        <v>2.1350762527233117E-2</v>
      </c>
      <c r="J32" s="37"/>
      <c r="K32" s="37"/>
      <c r="L32" s="37"/>
      <c r="M32" s="37"/>
      <c r="N32" s="37"/>
      <c r="O32" s="37"/>
    </row>
    <row r="33" spans="1:15" ht="15" customHeight="1">
      <c r="A33" s="31"/>
      <c r="B33" s="560" t="s">
        <v>94</v>
      </c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</row>
    <row r="34" spans="1:15" ht="15" customHeight="1">
      <c r="A34" s="31"/>
      <c r="B34" s="555" t="s">
        <v>95</v>
      </c>
      <c r="C34" s="556"/>
      <c r="D34" s="556"/>
      <c r="E34" s="556"/>
      <c r="F34" s="556"/>
      <c r="G34" s="556"/>
      <c r="H34" s="556"/>
      <c r="I34" s="556"/>
      <c r="J34" s="189">
        <v>41730.400000000001</v>
      </c>
      <c r="K34" s="189">
        <v>41135.5</v>
      </c>
      <c r="L34" s="254">
        <f>K34/J34*100</f>
        <v>98.574420566301782</v>
      </c>
      <c r="M34" s="426">
        <f>AVERAGE(H35:H37)</f>
        <v>1</v>
      </c>
      <c r="N34" s="46"/>
      <c r="O34" s="46"/>
    </row>
    <row r="35" spans="1:15" ht="25.5">
      <c r="A35" s="31" t="s">
        <v>96</v>
      </c>
      <c r="B35" s="35" t="s">
        <v>97</v>
      </c>
      <c r="C35" s="241" t="s">
        <v>47</v>
      </c>
      <c r="D35" s="40">
        <v>0.04</v>
      </c>
      <c r="E35" s="31">
        <v>5</v>
      </c>
      <c r="F35" s="85">
        <v>5</v>
      </c>
      <c r="G35" s="85">
        <v>5</v>
      </c>
      <c r="H35" s="128">
        <f>G35/F35</f>
        <v>1</v>
      </c>
      <c r="I35" s="321">
        <f>H35*D35</f>
        <v>0.04</v>
      </c>
      <c r="J35" s="37" t="s">
        <v>133</v>
      </c>
      <c r="K35" s="37" t="s">
        <v>133</v>
      </c>
      <c r="L35" s="37" t="s">
        <v>133</v>
      </c>
      <c r="M35" s="37" t="s">
        <v>133</v>
      </c>
      <c r="N35" s="37"/>
      <c r="O35" s="37"/>
    </row>
    <row r="36" spans="1:15" ht="76.5">
      <c r="A36" s="31" t="s">
        <v>21</v>
      </c>
      <c r="B36" s="28" t="s">
        <v>98</v>
      </c>
      <c r="C36" s="241" t="s">
        <v>47</v>
      </c>
      <c r="D36" s="271">
        <v>0.04</v>
      </c>
      <c r="E36" s="239">
        <v>5</v>
      </c>
      <c r="F36" s="240">
        <v>5</v>
      </c>
      <c r="G36" s="240">
        <v>5</v>
      </c>
      <c r="H36" s="163">
        <f t="shared" ref="H36:H37" si="3">G36/F36</f>
        <v>1</v>
      </c>
      <c r="I36" s="321">
        <f t="shared" ref="I36:I37" si="4">H36*D36</f>
        <v>0.04</v>
      </c>
      <c r="J36" s="37" t="s">
        <v>133</v>
      </c>
      <c r="K36" s="37" t="s">
        <v>133</v>
      </c>
      <c r="L36" s="37" t="s">
        <v>133</v>
      </c>
      <c r="M36" s="37" t="s">
        <v>133</v>
      </c>
      <c r="N36" s="37"/>
      <c r="O36" s="37"/>
    </row>
    <row r="37" spans="1:15" ht="51">
      <c r="A37" s="31" t="s">
        <v>99</v>
      </c>
      <c r="B37" s="30" t="s">
        <v>100</v>
      </c>
      <c r="C37" s="241" t="s">
        <v>47</v>
      </c>
      <c r="D37" s="271">
        <v>0.04</v>
      </c>
      <c r="E37" s="239">
        <v>5</v>
      </c>
      <c r="F37" s="240">
        <v>5</v>
      </c>
      <c r="G37" s="240">
        <v>5</v>
      </c>
      <c r="H37" s="163">
        <f t="shared" si="3"/>
        <v>1</v>
      </c>
      <c r="I37" s="321">
        <f t="shared" si="4"/>
        <v>0.04</v>
      </c>
      <c r="J37" s="37" t="s">
        <v>133</v>
      </c>
      <c r="K37" s="37" t="s">
        <v>133</v>
      </c>
      <c r="L37" s="37" t="s">
        <v>133</v>
      </c>
      <c r="M37" s="37" t="s">
        <v>133</v>
      </c>
      <c r="N37" s="37"/>
      <c r="O37" s="37"/>
    </row>
    <row r="38" spans="1:15" ht="15" customHeight="1">
      <c r="A38" s="31"/>
      <c r="B38" s="560" t="s">
        <v>101</v>
      </c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</row>
    <row r="39" spans="1:15" ht="19.5" customHeight="1">
      <c r="A39" s="31"/>
      <c r="B39" s="557" t="s">
        <v>109</v>
      </c>
      <c r="C39" s="558"/>
      <c r="D39" s="558"/>
      <c r="E39" s="558"/>
      <c r="F39" s="558"/>
      <c r="G39" s="558"/>
      <c r="H39" s="558"/>
      <c r="I39" s="559"/>
      <c r="J39" s="189">
        <v>23990.1</v>
      </c>
      <c r="K39" s="189">
        <v>23796.3</v>
      </c>
      <c r="L39" s="238">
        <f>K39/J39*100</f>
        <v>99.192166768792134</v>
      </c>
      <c r="M39" s="427">
        <f>AVERAGE(H40:H42)</f>
        <v>1</v>
      </c>
      <c r="N39" s="47"/>
      <c r="O39" s="47"/>
    </row>
    <row r="40" spans="1:15" ht="102">
      <c r="A40" s="39" t="s">
        <v>102</v>
      </c>
      <c r="B40" s="28" t="s">
        <v>103</v>
      </c>
      <c r="C40" s="242" t="s">
        <v>0</v>
      </c>
      <c r="D40" s="233">
        <v>0.04</v>
      </c>
      <c r="E40" s="193">
        <v>4.7</v>
      </c>
      <c r="F40" s="234">
        <v>4.7</v>
      </c>
      <c r="G40" s="235">
        <v>4.7</v>
      </c>
      <c r="H40" s="163">
        <f>G40/F40</f>
        <v>1</v>
      </c>
      <c r="I40" s="143">
        <f>H40*D40</f>
        <v>0.04</v>
      </c>
      <c r="J40" s="37" t="s">
        <v>133</v>
      </c>
      <c r="K40" s="37" t="s">
        <v>133</v>
      </c>
      <c r="L40" s="37" t="s">
        <v>133</v>
      </c>
      <c r="M40" s="37" t="s">
        <v>133</v>
      </c>
      <c r="N40" s="48"/>
      <c r="O40" s="48"/>
    </row>
    <row r="41" spans="1:15" ht="63" customHeight="1">
      <c r="A41" s="39" t="s">
        <v>104</v>
      </c>
      <c r="B41" s="28" t="s">
        <v>422</v>
      </c>
      <c r="C41" s="72" t="s">
        <v>9</v>
      </c>
      <c r="D41" s="233">
        <v>0.04</v>
      </c>
      <c r="E41" s="193">
        <v>88</v>
      </c>
      <c r="F41" s="236">
        <v>87</v>
      </c>
      <c r="G41" s="235">
        <v>87</v>
      </c>
      <c r="H41" s="163">
        <v>1</v>
      </c>
      <c r="I41" s="141">
        <f t="shared" ref="I41:I42" si="5">H41*D41</f>
        <v>0.04</v>
      </c>
      <c r="J41" s="37" t="s">
        <v>133</v>
      </c>
      <c r="K41" s="37" t="s">
        <v>133</v>
      </c>
      <c r="L41" s="37" t="s">
        <v>133</v>
      </c>
      <c r="M41" s="37" t="s">
        <v>133</v>
      </c>
      <c r="N41" s="48"/>
      <c r="O41" s="48"/>
    </row>
    <row r="42" spans="1:15" ht="127.5">
      <c r="A42" s="39" t="s">
        <v>105</v>
      </c>
      <c r="B42" s="28" t="s">
        <v>423</v>
      </c>
      <c r="C42" s="242" t="s">
        <v>0</v>
      </c>
      <c r="D42" s="233">
        <v>0.04</v>
      </c>
      <c r="E42" s="193">
        <v>8.1999999999999993</v>
      </c>
      <c r="F42" s="237">
        <v>8.1999999999999993</v>
      </c>
      <c r="G42" s="156">
        <v>8.1999999999999993</v>
      </c>
      <c r="H42" s="163">
        <v>1</v>
      </c>
      <c r="I42" s="141">
        <f t="shared" si="5"/>
        <v>0.04</v>
      </c>
      <c r="J42" s="37" t="s">
        <v>133</v>
      </c>
      <c r="K42" s="37" t="s">
        <v>133</v>
      </c>
      <c r="L42" s="37" t="s">
        <v>133</v>
      </c>
      <c r="M42" s="37" t="s">
        <v>133</v>
      </c>
      <c r="N42" s="48"/>
      <c r="O42" s="48"/>
    </row>
    <row r="43" spans="1:15">
      <c r="B43" s="109" t="s">
        <v>206</v>
      </c>
      <c r="D43" s="2">
        <f>SUM(D14:D32,D35:D37,D40:D42)</f>
        <v>1.0000000000000002</v>
      </c>
    </row>
  </sheetData>
  <mergeCells count="28">
    <mergeCell ref="A2:O2"/>
    <mergeCell ref="A3:A6"/>
    <mergeCell ref="B3:B6"/>
    <mergeCell ref="C3:C6"/>
    <mergeCell ref="D3:D6"/>
    <mergeCell ref="J3:L3"/>
    <mergeCell ref="J4:L4"/>
    <mergeCell ref="J5:J6"/>
    <mergeCell ref="K5:K6"/>
    <mergeCell ref="L5:L6"/>
    <mergeCell ref="H5:H6"/>
    <mergeCell ref="N3:N6"/>
    <mergeCell ref="B13:I13"/>
    <mergeCell ref="B7:I7"/>
    <mergeCell ref="B34:I34"/>
    <mergeCell ref="B39:I39"/>
    <mergeCell ref="E3:I3"/>
    <mergeCell ref="F4:I4"/>
    <mergeCell ref="I5:I6"/>
    <mergeCell ref="B38:O38"/>
    <mergeCell ref="B33:O33"/>
    <mergeCell ref="B8:O8"/>
    <mergeCell ref="B12:O12"/>
    <mergeCell ref="M3:M6"/>
    <mergeCell ref="O3:O6"/>
    <mergeCell ref="E4:E6"/>
    <mergeCell ref="F5:F6"/>
    <mergeCell ref="G5:G6"/>
  </mergeCells>
  <pageMargins left="0.7" right="0.7" top="0.75" bottom="0.75" header="0.3" footer="0.3"/>
  <pageSetup paperSize="9" scale="4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view="pageBreakPreview" zoomScaleNormal="100" zoomScaleSheetLayoutView="100" workbookViewId="0">
      <selection activeCell="H8" sqref="H8"/>
    </sheetView>
  </sheetViews>
  <sheetFormatPr defaultRowHeight="15"/>
  <cols>
    <col min="1" max="1" width="5.140625" customWidth="1"/>
    <col min="2" max="2" width="45.7109375" customWidth="1"/>
    <col min="5" max="5" width="10.42578125" customWidth="1"/>
    <col min="6" max="6" width="8.7109375" customWidth="1"/>
    <col min="7" max="7" width="8.5703125" customWidth="1"/>
    <col min="8" max="8" width="22" customWidth="1"/>
    <col min="9" max="9" width="9.7109375" customWidth="1"/>
    <col min="10" max="10" width="14.140625" customWidth="1"/>
    <col min="11" max="11" width="12.140625" customWidth="1"/>
    <col min="12" max="12" width="7.85546875" customWidth="1"/>
    <col min="13" max="13" width="15.85546875" customWidth="1"/>
    <col min="14" max="14" width="11.5703125" customWidth="1"/>
    <col min="15" max="15" width="18.140625" customWidth="1"/>
  </cols>
  <sheetData>
    <row r="1" spans="1:15" ht="18.75">
      <c r="A1" s="537" t="s">
        <v>570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</row>
    <row r="2" spans="1:15" ht="15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415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52.5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>
      <c r="A6" s="25"/>
      <c r="B6" s="568" t="s">
        <v>505</v>
      </c>
      <c r="C6" s="568"/>
      <c r="D6" s="568"/>
      <c r="E6" s="568"/>
      <c r="F6" s="568"/>
      <c r="G6" s="568"/>
      <c r="H6" s="568"/>
      <c r="I6" s="568"/>
      <c r="J6" s="189">
        <v>400</v>
      </c>
      <c r="K6" s="189">
        <v>400</v>
      </c>
      <c r="L6" s="190">
        <f>K6/J6*100</f>
        <v>100</v>
      </c>
      <c r="M6" s="232">
        <f>AVERAGE(H11,H13)</f>
        <v>1</v>
      </c>
      <c r="N6" s="356">
        <f>AVERAGE(H8:H9)</f>
        <v>0.98888888888888893</v>
      </c>
      <c r="O6" s="356">
        <f>SUM(I11,I13)</f>
        <v>1</v>
      </c>
    </row>
    <row r="7" spans="1:15">
      <c r="A7" s="25"/>
      <c r="B7" s="566" t="s">
        <v>521</v>
      </c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</row>
    <row r="8" spans="1:15" s="2" customFormat="1" ht="57" customHeight="1">
      <c r="A8" s="25"/>
      <c r="B8" s="187" t="s">
        <v>522</v>
      </c>
      <c r="C8" s="352" t="s">
        <v>119</v>
      </c>
      <c r="D8" s="353" t="s">
        <v>31</v>
      </c>
      <c r="E8" s="98">
        <v>45</v>
      </c>
      <c r="F8" s="354">
        <v>45</v>
      </c>
      <c r="G8" s="354">
        <v>44</v>
      </c>
      <c r="H8" s="175">
        <f>G8/F8</f>
        <v>0.97777777777777775</v>
      </c>
      <c r="I8" s="352" t="s">
        <v>31</v>
      </c>
      <c r="J8" s="347"/>
      <c r="K8" s="347"/>
      <c r="L8" s="347"/>
      <c r="M8" s="347"/>
      <c r="N8" s="347"/>
      <c r="O8" s="347"/>
    </row>
    <row r="9" spans="1:15" ht="56.25" customHeight="1">
      <c r="A9" s="39">
        <v>1</v>
      </c>
      <c r="B9" s="186" t="s">
        <v>523</v>
      </c>
      <c r="C9" s="230" t="s">
        <v>9</v>
      </c>
      <c r="D9" s="229" t="s">
        <v>31</v>
      </c>
      <c r="E9" s="423">
        <v>230</v>
      </c>
      <c r="F9" s="272">
        <v>230</v>
      </c>
      <c r="G9" s="272">
        <v>230</v>
      </c>
      <c r="H9" s="175">
        <f>G9/F9</f>
        <v>1</v>
      </c>
      <c r="I9" s="229" t="s">
        <v>31</v>
      </c>
      <c r="J9" s="186"/>
      <c r="K9" s="186"/>
      <c r="L9" s="186"/>
      <c r="M9" s="186"/>
      <c r="N9" s="186"/>
      <c r="O9" s="186"/>
    </row>
    <row r="10" spans="1:15">
      <c r="A10" s="25"/>
      <c r="B10" s="566" t="s">
        <v>524</v>
      </c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6"/>
    </row>
    <row r="11" spans="1:15" ht="25.5">
      <c r="A11" s="39" t="s">
        <v>59</v>
      </c>
      <c r="B11" s="152" t="s">
        <v>525</v>
      </c>
      <c r="C11" s="103" t="s">
        <v>119</v>
      </c>
      <c r="D11" s="225">
        <v>0.5</v>
      </c>
      <c r="E11" s="225">
        <v>1</v>
      </c>
      <c r="F11" s="273">
        <v>1</v>
      </c>
      <c r="G11" s="273">
        <v>1</v>
      </c>
      <c r="H11" s="225">
        <v>1</v>
      </c>
      <c r="I11" s="225">
        <f>H11*D11</f>
        <v>0.5</v>
      </c>
      <c r="J11" s="186"/>
      <c r="K11" s="186"/>
      <c r="L11" s="186"/>
      <c r="M11" s="188"/>
      <c r="N11" s="186"/>
      <c r="O11" s="186"/>
    </row>
    <row r="12" spans="1:15">
      <c r="A12" s="25"/>
      <c r="B12" s="567" t="s">
        <v>526</v>
      </c>
      <c r="C12" s="567"/>
      <c r="D12" s="567"/>
      <c r="E12" s="567"/>
      <c r="F12" s="567"/>
      <c r="G12" s="567"/>
      <c r="H12" s="567"/>
      <c r="I12" s="567"/>
      <c r="J12" s="567"/>
      <c r="K12" s="567"/>
      <c r="L12" s="567"/>
      <c r="M12" s="567"/>
      <c r="N12" s="567"/>
      <c r="O12" s="567"/>
    </row>
    <row r="13" spans="1:15" ht="25.5">
      <c r="A13" s="39" t="s">
        <v>102</v>
      </c>
      <c r="B13" s="152" t="s">
        <v>527</v>
      </c>
      <c r="C13" s="103" t="s">
        <v>305</v>
      </c>
      <c r="D13" s="225">
        <v>0.5</v>
      </c>
      <c r="E13" s="225">
        <v>4</v>
      </c>
      <c r="F13" s="273">
        <v>4</v>
      </c>
      <c r="G13" s="273">
        <v>4</v>
      </c>
      <c r="H13" s="196">
        <f>G13/F13</f>
        <v>1</v>
      </c>
      <c r="I13" s="225">
        <f>H13*D13</f>
        <v>0.5</v>
      </c>
      <c r="J13" s="186"/>
      <c r="K13" s="186"/>
      <c r="L13" s="186"/>
      <c r="M13" s="186"/>
      <c r="N13" s="186"/>
      <c r="O13" s="186"/>
    </row>
    <row r="14" spans="1:15">
      <c r="B14" s="2" t="s">
        <v>206</v>
      </c>
      <c r="D14" s="153">
        <f>D13+D11</f>
        <v>1</v>
      </c>
    </row>
  </sheetData>
  <mergeCells count="24">
    <mergeCell ref="B7:O7"/>
    <mergeCell ref="B10:O10"/>
    <mergeCell ref="B12:O12"/>
    <mergeCell ref="J3:L3"/>
    <mergeCell ref="F4:F5"/>
    <mergeCell ref="G4:G5"/>
    <mergeCell ref="H4:H5"/>
    <mergeCell ref="B6:I6"/>
    <mergeCell ref="I4:I5"/>
    <mergeCell ref="J4:J5"/>
    <mergeCell ref="K4:K5"/>
    <mergeCell ref="L4:L5"/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</mergeCells>
  <pageMargins left="0.7" right="0.7" top="0.75" bottom="0.75" header="0.3" footer="0.3"/>
  <pageSetup paperSize="9" scale="4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8"/>
  <sheetViews>
    <sheetView view="pageBreakPreview" zoomScaleNormal="100" zoomScaleSheetLayoutView="100" workbookViewId="0">
      <selection activeCell="M6" sqref="M6"/>
    </sheetView>
  </sheetViews>
  <sheetFormatPr defaultRowHeight="15"/>
  <cols>
    <col min="1" max="1" width="4.42578125" customWidth="1"/>
    <col min="2" max="2" width="39.42578125" customWidth="1"/>
    <col min="3" max="3" width="6.85546875" customWidth="1"/>
    <col min="5" max="5" width="12.140625" customWidth="1"/>
    <col min="6" max="6" width="9.28515625" customWidth="1"/>
    <col min="7" max="7" width="11" customWidth="1"/>
    <col min="8" max="8" width="23.7109375" customWidth="1"/>
    <col min="9" max="9" width="15" customWidth="1"/>
    <col min="10" max="10" width="12.140625" customWidth="1"/>
    <col min="11" max="11" width="13.28515625" customWidth="1"/>
    <col min="12" max="12" width="7.140625" customWidth="1"/>
    <col min="13" max="13" width="14" customWidth="1"/>
    <col min="14" max="14" width="11.5703125" customWidth="1"/>
    <col min="15" max="15" width="15.42578125" customWidth="1"/>
  </cols>
  <sheetData>
    <row r="1" spans="1:15" ht="18.75">
      <c r="A1" s="537" t="s">
        <v>565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</row>
    <row r="2" spans="1:15" ht="29.25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415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43.5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>
      <c r="A6" s="25"/>
      <c r="B6" s="572" t="s">
        <v>235</v>
      </c>
      <c r="C6" s="573"/>
      <c r="D6" s="573"/>
      <c r="E6" s="573"/>
      <c r="F6" s="573"/>
      <c r="G6" s="573"/>
      <c r="H6" s="573"/>
      <c r="I6" s="574"/>
      <c r="J6" s="189">
        <v>674377.2</v>
      </c>
      <c r="K6" s="189">
        <v>660051.14</v>
      </c>
      <c r="L6" s="58">
        <f>K6/J6*100</f>
        <v>97.875660683664876</v>
      </c>
      <c r="M6" s="457">
        <f>AVERAGE(H8:H12)</f>
        <v>0.97724510717614166</v>
      </c>
      <c r="N6" s="61">
        <f>AVERAGE(H8:H12)</f>
        <v>0.97724510717614166</v>
      </c>
      <c r="O6" s="61">
        <f>SUM(I15:I17,I20:I21,I24:I29,I32:I37)</f>
        <v>0.99999999999999978</v>
      </c>
    </row>
    <row r="7" spans="1:15" ht="15" customHeight="1">
      <c r="A7" s="25"/>
      <c r="B7" s="575" t="s">
        <v>350</v>
      </c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</row>
    <row r="8" spans="1:15" ht="52.5" customHeight="1">
      <c r="A8" s="39">
        <v>1</v>
      </c>
      <c r="B8" s="135" t="s">
        <v>351</v>
      </c>
      <c r="C8" s="134" t="s">
        <v>0</v>
      </c>
      <c r="D8" s="158" t="s">
        <v>31</v>
      </c>
      <c r="E8" s="194">
        <v>132.5</v>
      </c>
      <c r="F8" s="156">
        <v>145</v>
      </c>
      <c r="G8" s="156">
        <v>138.30000000000001</v>
      </c>
      <c r="H8" s="163">
        <f t="shared" ref="H8" si="0">G8/F8</f>
        <v>0.95379310344827595</v>
      </c>
      <c r="I8" s="158" t="s">
        <v>31</v>
      </c>
      <c r="J8" s="25"/>
      <c r="K8" s="25"/>
      <c r="L8" s="25"/>
      <c r="M8" s="25"/>
      <c r="N8" s="25"/>
      <c r="O8" s="25"/>
    </row>
    <row r="9" spans="1:15" ht="52.5" customHeight="1">
      <c r="A9" s="39">
        <v>2</v>
      </c>
      <c r="B9" s="136" t="s">
        <v>352</v>
      </c>
      <c r="C9" s="66" t="s">
        <v>353</v>
      </c>
      <c r="D9" s="158" t="s">
        <v>31</v>
      </c>
      <c r="E9" s="194">
        <v>1222</v>
      </c>
      <c r="F9" s="156">
        <v>990</v>
      </c>
      <c r="G9" s="156">
        <v>1363</v>
      </c>
      <c r="H9" s="163">
        <v>1</v>
      </c>
      <c r="I9" s="158" t="s">
        <v>31</v>
      </c>
      <c r="J9" s="25"/>
      <c r="K9" s="25"/>
      <c r="L9" s="25"/>
      <c r="M9" s="25"/>
      <c r="N9" s="25"/>
      <c r="O9" s="25"/>
    </row>
    <row r="10" spans="1:15" ht="37.5" customHeight="1">
      <c r="A10" s="39">
        <v>3</v>
      </c>
      <c r="B10" s="135" t="s">
        <v>354</v>
      </c>
      <c r="C10" s="137" t="s">
        <v>0</v>
      </c>
      <c r="D10" s="158" t="s">
        <v>31</v>
      </c>
      <c r="E10" s="194">
        <v>20.9</v>
      </c>
      <c r="F10" s="156">
        <v>19.2</v>
      </c>
      <c r="G10" s="156">
        <v>19.7</v>
      </c>
      <c r="H10" s="163">
        <v>1</v>
      </c>
      <c r="I10" s="158" t="s">
        <v>31</v>
      </c>
      <c r="J10" s="25"/>
      <c r="K10" s="25"/>
      <c r="L10" s="25"/>
      <c r="M10" s="25"/>
      <c r="N10" s="25"/>
      <c r="O10" s="25"/>
    </row>
    <row r="11" spans="1:15" ht="37.5" customHeight="1">
      <c r="A11" s="39">
        <v>4</v>
      </c>
      <c r="B11" s="135" t="s">
        <v>355</v>
      </c>
      <c r="C11" s="134" t="s">
        <v>9</v>
      </c>
      <c r="D11" s="158" t="s">
        <v>31</v>
      </c>
      <c r="E11" s="194">
        <v>370</v>
      </c>
      <c r="F11" s="156">
        <v>370</v>
      </c>
      <c r="G11" s="156">
        <v>345</v>
      </c>
      <c r="H11" s="163">
        <f>G11/F11</f>
        <v>0.93243243243243246</v>
      </c>
      <c r="I11" s="158" t="s">
        <v>31</v>
      </c>
      <c r="J11" s="25"/>
      <c r="K11" s="25"/>
      <c r="L11" s="25"/>
      <c r="M11" s="25"/>
      <c r="N11" s="25"/>
      <c r="O11" s="25"/>
    </row>
    <row r="12" spans="1:15" ht="114.75">
      <c r="A12" s="39">
        <v>5</v>
      </c>
      <c r="B12" s="135" t="s">
        <v>421</v>
      </c>
      <c r="C12" s="134" t="s">
        <v>0</v>
      </c>
      <c r="D12" s="158" t="s">
        <v>31</v>
      </c>
      <c r="E12" s="194">
        <v>100</v>
      </c>
      <c r="F12" s="156">
        <v>100</v>
      </c>
      <c r="G12" s="156">
        <v>100</v>
      </c>
      <c r="H12" s="163">
        <f t="shared" ref="H12" si="1">G12/F12</f>
        <v>1</v>
      </c>
      <c r="I12" s="158" t="s">
        <v>31</v>
      </c>
      <c r="J12" s="25"/>
      <c r="K12" s="25"/>
      <c r="L12" s="25"/>
      <c r="M12" s="25"/>
      <c r="N12" s="25"/>
      <c r="O12" s="25"/>
    </row>
    <row r="13" spans="1:15" ht="15" customHeight="1">
      <c r="A13" s="25"/>
      <c r="B13" s="575" t="s">
        <v>356</v>
      </c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</row>
    <row r="14" spans="1:15">
      <c r="A14" s="25"/>
      <c r="B14" s="576" t="s">
        <v>357</v>
      </c>
      <c r="C14" s="576"/>
      <c r="D14" s="576"/>
      <c r="E14" s="576"/>
      <c r="F14" s="576"/>
      <c r="G14" s="576"/>
      <c r="H14" s="576"/>
      <c r="I14" s="576"/>
      <c r="J14" s="189">
        <v>166280.1</v>
      </c>
      <c r="K14" s="189">
        <v>166279.03</v>
      </c>
      <c r="L14" s="488">
        <f>K14/J14*100</f>
        <v>99.999356507483455</v>
      </c>
      <c r="M14" s="61">
        <f>AVERAGE(H15:H17)</f>
        <v>1</v>
      </c>
      <c r="N14" s="3"/>
      <c r="O14" s="3"/>
    </row>
    <row r="15" spans="1:15" ht="25.5">
      <c r="A15" s="482" t="s">
        <v>59</v>
      </c>
      <c r="B15" s="135" t="s">
        <v>358</v>
      </c>
      <c r="C15" s="479" t="s">
        <v>359</v>
      </c>
      <c r="D15" s="194">
        <v>0.05</v>
      </c>
      <c r="E15" s="484">
        <v>289.5</v>
      </c>
      <c r="F15" s="156">
        <v>289.5</v>
      </c>
      <c r="G15" s="156">
        <v>303.8</v>
      </c>
      <c r="H15" s="163">
        <v>1</v>
      </c>
      <c r="I15" s="228">
        <f>H15*D15</f>
        <v>0.05</v>
      </c>
      <c r="J15" s="25"/>
      <c r="K15" s="25"/>
      <c r="L15" s="25"/>
      <c r="M15" s="25"/>
      <c r="N15" s="25"/>
      <c r="O15" s="25"/>
    </row>
    <row r="16" spans="1:15" ht="25.5">
      <c r="A16" s="482" t="s">
        <v>60</v>
      </c>
      <c r="B16" s="135" t="s">
        <v>360</v>
      </c>
      <c r="C16" s="479" t="s">
        <v>9</v>
      </c>
      <c r="D16" s="194">
        <v>0.05</v>
      </c>
      <c r="E16" s="484">
        <v>5864</v>
      </c>
      <c r="F16" s="156">
        <v>4000</v>
      </c>
      <c r="G16" s="156">
        <v>6377</v>
      </c>
      <c r="H16" s="163">
        <v>1</v>
      </c>
      <c r="I16" s="231">
        <f t="shared" ref="I16" si="2">H16*D16</f>
        <v>0.05</v>
      </c>
      <c r="J16" s="25"/>
      <c r="K16" s="25"/>
      <c r="L16" s="25"/>
      <c r="M16" s="25"/>
      <c r="N16" s="25"/>
      <c r="O16" s="25"/>
    </row>
    <row r="17" spans="1:15" s="2" customFormat="1" ht="15.75" customHeight="1">
      <c r="A17" s="482" t="s">
        <v>62</v>
      </c>
      <c r="B17" s="485" t="s">
        <v>592</v>
      </c>
      <c r="C17" s="486" t="s">
        <v>0</v>
      </c>
      <c r="D17" s="487">
        <v>0.05</v>
      </c>
      <c r="E17" s="484">
        <v>19.2</v>
      </c>
      <c r="F17" s="156">
        <v>19.2</v>
      </c>
      <c r="G17" s="156">
        <v>19.2</v>
      </c>
      <c r="H17" s="163">
        <f>G17/F17</f>
        <v>1</v>
      </c>
      <c r="I17" s="231">
        <v>0.05</v>
      </c>
      <c r="J17" s="25"/>
      <c r="K17" s="25"/>
      <c r="L17" s="25"/>
      <c r="M17" s="25"/>
      <c r="N17" s="25"/>
      <c r="O17" s="25"/>
    </row>
    <row r="18" spans="1:15" ht="15" customHeight="1">
      <c r="A18" s="25"/>
      <c r="B18" s="569" t="s">
        <v>492</v>
      </c>
      <c r="C18" s="569"/>
      <c r="D18" s="569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</row>
    <row r="19" spans="1:15" ht="15" customHeight="1">
      <c r="A19" s="25"/>
      <c r="B19" s="571" t="s">
        <v>361</v>
      </c>
      <c r="C19" s="571"/>
      <c r="D19" s="571"/>
      <c r="E19" s="571"/>
      <c r="F19" s="571"/>
      <c r="G19" s="571"/>
      <c r="H19" s="571"/>
      <c r="I19" s="571"/>
      <c r="J19" s="189">
        <v>24294.89</v>
      </c>
      <c r="K19" s="189">
        <v>23392.61</v>
      </c>
      <c r="L19" s="58">
        <f>K19/J19*100</f>
        <v>96.286132598254198</v>
      </c>
      <c r="M19" s="61">
        <f>AVERAGE(H20:H21)</f>
        <v>1</v>
      </c>
      <c r="N19" s="3"/>
      <c r="O19" s="3"/>
    </row>
    <row r="20" spans="1:15" ht="38.25">
      <c r="A20" s="39" t="s">
        <v>96</v>
      </c>
      <c r="B20" s="135" t="s">
        <v>362</v>
      </c>
      <c r="C20" s="185" t="s">
        <v>0</v>
      </c>
      <c r="D20" s="141">
        <v>0.05</v>
      </c>
      <c r="E20" s="139">
        <v>100</v>
      </c>
      <c r="F20" s="142">
        <v>100</v>
      </c>
      <c r="G20" s="142">
        <v>100</v>
      </c>
      <c r="H20" s="143">
        <v>1</v>
      </c>
      <c r="I20" s="141">
        <f>D20*H20</f>
        <v>0.05</v>
      </c>
      <c r="J20" s="25"/>
      <c r="K20" s="25"/>
      <c r="L20" s="25"/>
      <c r="M20" s="25"/>
      <c r="N20" s="25"/>
      <c r="O20" s="25"/>
    </row>
    <row r="21" spans="1:15" ht="76.5">
      <c r="A21" s="39" t="s">
        <v>21</v>
      </c>
      <c r="B21" s="135" t="s">
        <v>363</v>
      </c>
      <c r="C21" s="185" t="s">
        <v>0</v>
      </c>
      <c r="D21" s="141">
        <v>0.05</v>
      </c>
      <c r="E21" s="141">
        <v>100</v>
      </c>
      <c r="F21" s="142">
        <v>100</v>
      </c>
      <c r="G21" s="142">
        <v>100</v>
      </c>
      <c r="H21" s="143">
        <v>1</v>
      </c>
      <c r="I21" s="141">
        <f>D21*H21</f>
        <v>0.05</v>
      </c>
      <c r="J21" s="25"/>
      <c r="K21" s="25"/>
      <c r="L21" s="25"/>
      <c r="M21" s="25"/>
      <c r="N21" s="25"/>
      <c r="O21" s="25"/>
    </row>
    <row r="22" spans="1:15" ht="15" customHeight="1">
      <c r="A22" s="25"/>
      <c r="B22" s="570" t="s">
        <v>364</v>
      </c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</row>
    <row r="23" spans="1:15" ht="15" customHeight="1">
      <c r="A23" s="25"/>
      <c r="B23" s="571" t="s">
        <v>365</v>
      </c>
      <c r="C23" s="571"/>
      <c r="D23" s="571"/>
      <c r="E23" s="571"/>
      <c r="F23" s="571"/>
      <c r="G23" s="571"/>
      <c r="H23" s="571"/>
      <c r="I23" s="571"/>
      <c r="J23" s="189">
        <v>321185.91999999998</v>
      </c>
      <c r="K23" s="189">
        <v>320599.64</v>
      </c>
      <c r="L23" s="59">
        <f>K23/J23*100</f>
        <v>99.817463978495695</v>
      </c>
      <c r="M23" s="61">
        <f>AVERAGE(H24:H29)</f>
        <v>1</v>
      </c>
      <c r="N23" s="3"/>
      <c r="O23" s="3"/>
    </row>
    <row r="24" spans="1:15" ht="62.25" customHeight="1">
      <c r="A24" s="482" t="s">
        <v>102</v>
      </c>
      <c r="B24" s="135" t="s">
        <v>438</v>
      </c>
      <c r="C24" s="227" t="s">
        <v>0</v>
      </c>
      <c r="D24" s="141">
        <v>0.05</v>
      </c>
      <c r="E24" s="194">
        <v>82.5</v>
      </c>
      <c r="F24" s="156">
        <v>23</v>
      </c>
      <c r="G24" s="156">
        <v>125</v>
      </c>
      <c r="H24" s="225">
        <v>1</v>
      </c>
      <c r="I24" s="163">
        <f>H24*D24</f>
        <v>0.05</v>
      </c>
      <c r="J24" s="25"/>
      <c r="K24" s="25"/>
      <c r="L24" s="25"/>
      <c r="M24" s="25"/>
      <c r="N24" s="25"/>
      <c r="O24" s="25"/>
    </row>
    <row r="25" spans="1:15" ht="38.25">
      <c r="A25" s="482" t="s">
        <v>104</v>
      </c>
      <c r="B25" s="135" t="s">
        <v>366</v>
      </c>
      <c r="C25" s="479" t="s">
        <v>367</v>
      </c>
      <c r="D25" s="141">
        <v>0.05</v>
      </c>
      <c r="E25" s="224">
        <v>178529</v>
      </c>
      <c r="F25" s="226">
        <v>22000</v>
      </c>
      <c r="G25" s="226">
        <v>225193</v>
      </c>
      <c r="H25" s="225">
        <v>1</v>
      </c>
      <c r="I25" s="163">
        <f t="shared" ref="I25:I28" si="3">H25*D25</f>
        <v>0.05</v>
      </c>
      <c r="J25" s="25"/>
      <c r="K25" s="25"/>
      <c r="L25" s="25"/>
      <c r="M25" s="25"/>
      <c r="N25" s="25"/>
      <c r="O25" s="25"/>
    </row>
    <row r="26" spans="1:15">
      <c r="A26" s="482" t="s">
        <v>105</v>
      </c>
      <c r="B26" s="135" t="s">
        <v>368</v>
      </c>
      <c r="C26" s="479" t="s">
        <v>119</v>
      </c>
      <c r="D26" s="141">
        <v>0.05</v>
      </c>
      <c r="E26" s="194">
        <v>133</v>
      </c>
      <c r="F26" s="156">
        <v>133</v>
      </c>
      <c r="G26" s="156">
        <v>135</v>
      </c>
      <c r="H26" s="225">
        <v>1</v>
      </c>
      <c r="I26" s="163">
        <f t="shared" si="3"/>
        <v>0.05</v>
      </c>
      <c r="J26" s="25"/>
      <c r="K26" s="25"/>
      <c r="L26" s="25"/>
      <c r="M26" s="25"/>
      <c r="N26" s="25"/>
      <c r="O26" s="25"/>
    </row>
    <row r="27" spans="1:15" ht="25.5">
      <c r="A27" s="482" t="s">
        <v>186</v>
      </c>
      <c r="B27" s="135" t="s">
        <v>369</v>
      </c>
      <c r="C27" s="479" t="s">
        <v>9</v>
      </c>
      <c r="D27" s="141">
        <v>0.05</v>
      </c>
      <c r="E27" s="194">
        <v>1150</v>
      </c>
      <c r="F27" s="156">
        <v>1150</v>
      </c>
      <c r="G27" s="156">
        <v>1164</v>
      </c>
      <c r="H27" s="225">
        <v>1</v>
      </c>
      <c r="I27" s="163">
        <f t="shared" si="3"/>
        <v>0.05</v>
      </c>
      <c r="J27" s="25"/>
      <c r="K27" s="25"/>
      <c r="L27" s="25"/>
      <c r="M27" s="25"/>
      <c r="N27" s="25"/>
      <c r="O27" s="25"/>
    </row>
    <row r="28" spans="1:15" ht="38.25">
      <c r="A28" s="482" t="s">
        <v>188</v>
      </c>
      <c r="B28" s="135" t="s">
        <v>370</v>
      </c>
      <c r="C28" s="479" t="s">
        <v>9</v>
      </c>
      <c r="D28" s="141">
        <v>0.05</v>
      </c>
      <c r="E28" s="194">
        <v>606</v>
      </c>
      <c r="F28" s="156">
        <v>600</v>
      </c>
      <c r="G28" s="156">
        <v>606</v>
      </c>
      <c r="H28" s="225">
        <v>1</v>
      </c>
      <c r="I28" s="163">
        <f t="shared" si="3"/>
        <v>0.05</v>
      </c>
      <c r="J28" s="25"/>
      <c r="K28" s="25"/>
      <c r="L28" s="25"/>
      <c r="M28" s="25"/>
      <c r="N28" s="25"/>
      <c r="O28" s="25"/>
    </row>
    <row r="29" spans="1:15" s="2" customFormat="1" ht="15.75" customHeight="1">
      <c r="A29" s="482" t="s">
        <v>593</v>
      </c>
      <c r="B29" s="483" t="s">
        <v>594</v>
      </c>
      <c r="C29" s="479" t="s">
        <v>9</v>
      </c>
      <c r="D29" s="141">
        <v>0.05</v>
      </c>
      <c r="E29" s="194"/>
      <c r="F29" s="156">
        <v>26</v>
      </c>
      <c r="G29" s="156">
        <v>26</v>
      </c>
      <c r="H29" s="225">
        <f>G29/F29</f>
        <v>1</v>
      </c>
      <c r="I29" s="163">
        <v>0.05</v>
      </c>
      <c r="J29" s="25"/>
      <c r="K29" s="25"/>
      <c r="L29" s="25"/>
      <c r="M29" s="25"/>
      <c r="N29" s="25"/>
      <c r="O29" s="25"/>
    </row>
    <row r="30" spans="1:15" ht="15" customHeight="1">
      <c r="A30" s="25"/>
      <c r="B30" s="569" t="s">
        <v>371</v>
      </c>
      <c r="C30" s="569"/>
      <c r="D30" s="569"/>
      <c r="E30" s="569"/>
      <c r="F30" s="570"/>
      <c r="G30" s="570"/>
      <c r="H30" s="570"/>
      <c r="I30" s="570"/>
      <c r="J30" s="570"/>
      <c r="K30" s="570"/>
      <c r="L30" s="570"/>
      <c r="M30" s="570"/>
      <c r="N30" s="570"/>
      <c r="O30" s="570"/>
    </row>
    <row r="31" spans="1:15" ht="15" customHeight="1">
      <c r="A31" s="25"/>
      <c r="B31" s="571" t="s">
        <v>372</v>
      </c>
      <c r="C31" s="571"/>
      <c r="D31" s="571"/>
      <c r="E31" s="571"/>
      <c r="F31" s="571"/>
      <c r="G31" s="571"/>
      <c r="H31" s="571"/>
      <c r="I31" s="571"/>
      <c r="J31" s="189">
        <v>162616.29999999999</v>
      </c>
      <c r="K31" s="189">
        <v>149779.85999999999</v>
      </c>
      <c r="L31" s="58">
        <f>K31/J31*100</f>
        <v>92.106301766797046</v>
      </c>
      <c r="M31" s="61">
        <f>AVERAGE(H32:H37)</f>
        <v>0.98833333333333329</v>
      </c>
      <c r="N31" s="3"/>
      <c r="O31" s="3"/>
    </row>
    <row r="32" spans="1:15" ht="38.25">
      <c r="A32" s="39" t="s">
        <v>156</v>
      </c>
      <c r="B32" s="135" t="s">
        <v>373</v>
      </c>
      <c r="C32" s="185" t="s">
        <v>0</v>
      </c>
      <c r="D32" s="194">
        <v>0.08</v>
      </c>
      <c r="E32" s="194">
        <v>85</v>
      </c>
      <c r="F32" s="156">
        <v>60</v>
      </c>
      <c r="G32" s="156">
        <v>125</v>
      </c>
      <c r="H32" s="163">
        <v>1</v>
      </c>
      <c r="I32" s="163">
        <f>H32*D32</f>
        <v>0.08</v>
      </c>
      <c r="J32" s="25"/>
      <c r="K32" s="25"/>
      <c r="L32" s="25"/>
      <c r="M32" s="25"/>
      <c r="N32" s="25"/>
      <c r="O32" s="25"/>
    </row>
    <row r="33" spans="1:15" ht="38.25" customHeight="1">
      <c r="A33" s="39" t="s">
        <v>159</v>
      </c>
      <c r="B33" s="135" t="s">
        <v>374</v>
      </c>
      <c r="C33" s="185" t="s">
        <v>9</v>
      </c>
      <c r="D33" s="194">
        <v>0.08</v>
      </c>
      <c r="E33" s="194">
        <v>60</v>
      </c>
      <c r="F33" s="156">
        <v>100</v>
      </c>
      <c r="G33" s="156">
        <v>93</v>
      </c>
      <c r="H33" s="163">
        <f>G33/F33</f>
        <v>0.93</v>
      </c>
      <c r="I33" s="163">
        <v>0.08</v>
      </c>
      <c r="J33" s="25"/>
      <c r="K33" s="25"/>
      <c r="L33" s="25"/>
      <c r="M33" s="25"/>
      <c r="N33" s="25"/>
      <c r="O33" s="25"/>
    </row>
    <row r="34" spans="1:15" ht="38.25">
      <c r="A34" s="39" t="s">
        <v>162</v>
      </c>
      <c r="B34" s="135" t="s">
        <v>375</v>
      </c>
      <c r="C34" s="185" t="s">
        <v>376</v>
      </c>
      <c r="D34" s="194">
        <v>0.08</v>
      </c>
      <c r="E34" s="194">
        <v>143</v>
      </c>
      <c r="F34" s="156">
        <v>6</v>
      </c>
      <c r="G34" s="156">
        <v>162.80000000000001</v>
      </c>
      <c r="H34" s="163">
        <v>1</v>
      </c>
      <c r="I34" s="163">
        <f t="shared" ref="I34:I37" si="4">H34*D34</f>
        <v>0.08</v>
      </c>
      <c r="J34" s="25"/>
      <c r="K34" s="25"/>
      <c r="L34" s="25"/>
      <c r="M34" s="25"/>
      <c r="N34" s="25"/>
      <c r="O34" s="25"/>
    </row>
    <row r="35" spans="1:15" ht="51">
      <c r="A35" s="39" t="s">
        <v>164</v>
      </c>
      <c r="B35" s="135" t="s">
        <v>377</v>
      </c>
      <c r="C35" s="185" t="s">
        <v>378</v>
      </c>
      <c r="D35" s="194">
        <v>0.08</v>
      </c>
      <c r="E35" s="194">
        <v>5</v>
      </c>
      <c r="F35" s="156">
        <v>5</v>
      </c>
      <c r="G35" s="156">
        <v>5</v>
      </c>
      <c r="H35" s="163">
        <f t="shared" ref="H35:H37" si="5">G35/F35</f>
        <v>1</v>
      </c>
      <c r="I35" s="163">
        <f t="shared" si="4"/>
        <v>0.08</v>
      </c>
      <c r="J35" s="25"/>
      <c r="K35" s="25"/>
      <c r="L35" s="25"/>
      <c r="M35" s="25"/>
      <c r="N35" s="25"/>
      <c r="O35" s="25"/>
    </row>
    <row r="36" spans="1:15" ht="38.25">
      <c r="A36" s="39" t="s">
        <v>165</v>
      </c>
      <c r="B36" s="135" t="s">
        <v>379</v>
      </c>
      <c r="C36" s="185" t="s">
        <v>378</v>
      </c>
      <c r="D36" s="194">
        <v>0.08</v>
      </c>
      <c r="E36" s="194">
        <v>99.98</v>
      </c>
      <c r="F36" s="156">
        <v>93</v>
      </c>
      <c r="G36" s="156">
        <v>97.88</v>
      </c>
      <c r="H36" s="163">
        <v>1</v>
      </c>
      <c r="I36" s="163">
        <f t="shared" si="4"/>
        <v>0.08</v>
      </c>
      <c r="J36" s="25"/>
      <c r="K36" s="25"/>
      <c r="L36" s="25"/>
      <c r="M36" s="25"/>
      <c r="N36" s="25"/>
      <c r="O36" s="25"/>
    </row>
    <row r="37" spans="1:15" ht="51">
      <c r="A37" s="39" t="s">
        <v>166</v>
      </c>
      <c r="B37" s="135" t="s">
        <v>380</v>
      </c>
      <c r="C37" s="185" t="s">
        <v>378</v>
      </c>
      <c r="D37" s="194">
        <v>0.05</v>
      </c>
      <c r="E37" s="194">
        <v>5</v>
      </c>
      <c r="F37" s="156">
        <v>5</v>
      </c>
      <c r="G37" s="156">
        <v>5</v>
      </c>
      <c r="H37" s="163">
        <f t="shared" si="5"/>
        <v>1</v>
      </c>
      <c r="I37" s="163">
        <f t="shared" si="4"/>
        <v>0.05</v>
      </c>
      <c r="J37" s="25"/>
      <c r="K37" s="25"/>
      <c r="L37" s="25"/>
      <c r="M37" s="25"/>
      <c r="N37" s="25"/>
      <c r="O37" s="25"/>
    </row>
    <row r="38" spans="1:15">
      <c r="B38" s="109" t="s">
        <v>206</v>
      </c>
      <c r="D38" s="153">
        <f>SUM(D15:D17,D20:D21,D24:D29,D32:D37)</f>
        <v>0.99999999999999978</v>
      </c>
    </row>
  </sheetData>
  <mergeCells count="30">
    <mergeCell ref="B31:I31"/>
    <mergeCell ref="B6:I6"/>
    <mergeCell ref="B7:O7"/>
    <mergeCell ref="B13:O13"/>
    <mergeCell ref="B14:I14"/>
    <mergeCell ref="B22:O22"/>
    <mergeCell ref="B23:I23"/>
    <mergeCell ref="B19:I19"/>
    <mergeCell ref="B18:O18"/>
    <mergeCell ref="I4:I5"/>
    <mergeCell ref="J4:J5"/>
    <mergeCell ref="K4:K5"/>
    <mergeCell ref="L4:L5"/>
    <mergeCell ref="B30:O30"/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F4:F5"/>
    <mergeCell ref="G4:G5"/>
    <mergeCell ref="H4:H5"/>
  </mergeCells>
  <pageMargins left="0.16" right="0.17" top="0.74803149606299213" bottom="0.74803149606299213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view="pageBreakPreview" zoomScaleNormal="100" zoomScaleSheetLayoutView="100" workbookViewId="0">
      <selection activeCell="K11" sqref="K11"/>
    </sheetView>
  </sheetViews>
  <sheetFormatPr defaultRowHeight="15"/>
  <cols>
    <col min="1" max="1" width="4.42578125" customWidth="1"/>
    <col min="2" max="2" width="45.7109375" customWidth="1"/>
    <col min="3" max="3" width="6.7109375" customWidth="1"/>
    <col min="5" max="5" width="7.85546875" customWidth="1"/>
    <col min="6" max="6" width="8" customWidth="1"/>
    <col min="7" max="7" width="7.85546875" customWidth="1"/>
    <col min="8" max="8" width="17.28515625" customWidth="1"/>
    <col min="9" max="9" width="9.28515625" customWidth="1"/>
    <col min="10" max="10" width="12" customWidth="1"/>
    <col min="11" max="11" width="12.28515625" customWidth="1"/>
    <col min="12" max="12" width="7.28515625" customWidth="1"/>
    <col min="13" max="13" width="12.5703125" customWidth="1"/>
    <col min="14" max="14" width="9.5703125" customWidth="1"/>
    <col min="15" max="15" width="13.5703125" customWidth="1"/>
  </cols>
  <sheetData>
    <row r="1" spans="1:15" ht="18.75">
      <c r="A1" s="537" t="s">
        <v>569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</row>
    <row r="2" spans="1:15" ht="29.25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415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84.75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>
      <c r="A6" s="3"/>
      <c r="B6" s="572" t="s">
        <v>241</v>
      </c>
      <c r="C6" s="573"/>
      <c r="D6" s="573"/>
      <c r="E6" s="573"/>
      <c r="F6" s="573"/>
      <c r="G6" s="573"/>
      <c r="H6" s="573"/>
      <c r="I6" s="574"/>
      <c r="J6" s="189">
        <v>32900.69</v>
      </c>
      <c r="K6" s="189">
        <v>32822.480000000003</v>
      </c>
      <c r="L6" s="58">
        <f>K6/J6*100</f>
        <v>99.762284620778473</v>
      </c>
      <c r="M6" s="61">
        <f>SUM(AVERAGE(H10:H11,H13:H14))</f>
        <v>0.86</v>
      </c>
      <c r="N6" s="61">
        <f>AVERAGE(H8:H8)</f>
        <v>1</v>
      </c>
      <c r="O6" s="61">
        <f>SUM(I10:I11,I13:I14)</f>
        <v>0.88800000000000001</v>
      </c>
    </row>
    <row r="7" spans="1:15" ht="27" customHeight="1">
      <c r="A7" s="314"/>
      <c r="B7" s="577" t="s">
        <v>476</v>
      </c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9"/>
    </row>
    <row r="8" spans="1:15" ht="26.25">
      <c r="A8" s="312">
        <v>1</v>
      </c>
      <c r="B8" s="5" t="s">
        <v>477</v>
      </c>
      <c r="C8" s="313" t="s">
        <v>9</v>
      </c>
      <c r="D8" s="315" t="s">
        <v>31</v>
      </c>
      <c r="E8" s="194">
        <v>1850</v>
      </c>
      <c r="F8" s="194">
        <v>1900</v>
      </c>
      <c r="G8" s="194">
        <v>1900</v>
      </c>
      <c r="H8" s="316">
        <f>G8/F8</f>
        <v>1</v>
      </c>
      <c r="I8" s="315" t="s">
        <v>31</v>
      </c>
      <c r="J8" s="139"/>
      <c r="K8" s="139"/>
      <c r="L8" s="139"/>
      <c r="M8" s="139"/>
      <c r="N8" s="139"/>
      <c r="O8" s="139"/>
    </row>
    <row r="9" spans="1:15" ht="15" customHeight="1">
      <c r="A9" s="69"/>
      <c r="B9" s="580" t="s">
        <v>478</v>
      </c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2"/>
    </row>
    <row r="10" spans="1:15" ht="26.25">
      <c r="A10" s="318" t="s">
        <v>59</v>
      </c>
      <c r="B10" s="5" t="s">
        <v>483</v>
      </c>
      <c r="C10" s="313" t="s">
        <v>9</v>
      </c>
      <c r="D10" s="139">
        <v>0.3</v>
      </c>
      <c r="E10" s="194">
        <v>47</v>
      </c>
      <c r="F10" s="194">
        <v>50</v>
      </c>
      <c r="G10" s="194">
        <v>70</v>
      </c>
      <c r="H10" s="316">
        <v>1</v>
      </c>
      <c r="I10" s="316">
        <f>H10*D10</f>
        <v>0.3</v>
      </c>
      <c r="J10" s="139"/>
      <c r="K10" s="139"/>
      <c r="L10" s="139"/>
      <c r="M10" s="139"/>
      <c r="N10" s="139"/>
      <c r="O10" s="139"/>
    </row>
    <row r="11" spans="1:15" ht="26.25">
      <c r="A11" s="318" t="s">
        <v>60</v>
      </c>
      <c r="B11" s="5" t="s">
        <v>484</v>
      </c>
      <c r="C11" s="313" t="s">
        <v>9</v>
      </c>
      <c r="D11" s="139">
        <v>0.2</v>
      </c>
      <c r="E11" s="194">
        <v>12</v>
      </c>
      <c r="F11" s="194">
        <v>25</v>
      </c>
      <c r="G11" s="194">
        <v>11</v>
      </c>
      <c r="H11" s="316">
        <f>G11/F11</f>
        <v>0.44</v>
      </c>
      <c r="I11" s="316">
        <f t="shared" ref="I11:I14" si="0">H11*D11</f>
        <v>8.8000000000000009E-2</v>
      </c>
      <c r="J11" s="139"/>
      <c r="K11" s="139"/>
      <c r="L11" s="139"/>
      <c r="M11" s="139"/>
      <c r="N11" s="139"/>
      <c r="O11" s="139"/>
    </row>
    <row r="12" spans="1:15" ht="15" customHeight="1">
      <c r="A12" s="69"/>
      <c r="B12" s="580" t="s">
        <v>482</v>
      </c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  <c r="N12" s="581"/>
      <c r="O12" s="582"/>
    </row>
    <row r="13" spans="1:15" ht="26.25">
      <c r="A13" s="312" t="s">
        <v>96</v>
      </c>
      <c r="B13" s="5" t="s">
        <v>479</v>
      </c>
      <c r="C13" s="313" t="s">
        <v>9</v>
      </c>
      <c r="D13" s="139">
        <v>0.25</v>
      </c>
      <c r="E13" s="124">
        <v>90</v>
      </c>
      <c r="F13" s="194">
        <v>110</v>
      </c>
      <c r="G13" s="194">
        <v>110</v>
      </c>
      <c r="H13" s="316">
        <f>G13/F13</f>
        <v>1</v>
      </c>
      <c r="I13" s="316">
        <f t="shared" si="0"/>
        <v>0.25</v>
      </c>
      <c r="J13" s="139"/>
      <c r="K13" s="139"/>
      <c r="L13" s="139"/>
      <c r="M13" s="139"/>
      <c r="N13" s="139"/>
      <c r="O13" s="139"/>
    </row>
    <row r="14" spans="1:15" ht="39">
      <c r="A14" s="312" t="s">
        <v>21</v>
      </c>
      <c r="B14" s="5" t="s">
        <v>480</v>
      </c>
      <c r="C14" s="313" t="s">
        <v>9</v>
      </c>
      <c r="D14" s="139">
        <v>0.25</v>
      </c>
      <c r="E14" s="124">
        <v>110</v>
      </c>
      <c r="F14" s="194">
        <v>120</v>
      </c>
      <c r="G14" s="194">
        <v>250</v>
      </c>
      <c r="H14" s="316">
        <v>1</v>
      </c>
      <c r="I14" s="316">
        <f t="shared" si="0"/>
        <v>0.25</v>
      </c>
      <c r="J14" s="139"/>
      <c r="K14" s="139"/>
      <c r="L14" s="139"/>
      <c r="M14" s="139"/>
      <c r="N14" s="139"/>
      <c r="O14" s="139"/>
    </row>
    <row r="15" spans="1:15">
      <c r="B15" s="109" t="s">
        <v>206</v>
      </c>
      <c r="D15">
        <f>SUM(D10:D11,D13:D14)</f>
        <v>1</v>
      </c>
    </row>
  </sheetData>
  <mergeCells count="24">
    <mergeCell ref="A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F4:F5"/>
    <mergeCell ref="G4:G5"/>
    <mergeCell ref="H4:H5"/>
    <mergeCell ref="B7:O7"/>
    <mergeCell ref="B9:O9"/>
    <mergeCell ref="B12:O12"/>
    <mergeCell ref="I4:I5"/>
    <mergeCell ref="J4:J5"/>
    <mergeCell ref="K4:K5"/>
    <mergeCell ref="L4:L5"/>
    <mergeCell ref="B6:I6"/>
  </mergeCells>
  <pageMargins left="0.7" right="0.7" top="0.75" bottom="0.75" header="0.3" footer="0.3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view="pageBreakPreview" zoomScale="90" zoomScaleNormal="100" zoomScaleSheetLayoutView="90" workbookViewId="0">
      <selection activeCell="M15" sqref="M15"/>
    </sheetView>
  </sheetViews>
  <sheetFormatPr defaultRowHeight="15"/>
  <cols>
    <col min="1" max="1" width="4.42578125" customWidth="1"/>
    <col min="2" max="2" width="45.7109375" customWidth="1"/>
    <col min="4" max="4" width="10.42578125" bestFit="1" customWidth="1"/>
    <col min="8" max="8" width="25.28515625" customWidth="1"/>
    <col min="9" max="9" width="8.85546875" customWidth="1"/>
    <col min="10" max="10" width="12.28515625" customWidth="1"/>
    <col min="11" max="11" width="12.7109375" customWidth="1"/>
    <col min="12" max="12" width="8.42578125" customWidth="1"/>
    <col min="13" max="13" width="15.42578125" customWidth="1"/>
    <col min="14" max="14" width="10.28515625" customWidth="1"/>
    <col min="15" max="15" width="28" customWidth="1"/>
  </cols>
  <sheetData>
    <row r="1" spans="1:15" ht="18.75">
      <c r="A1" s="537" t="s">
        <v>568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</row>
    <row r="2" spans="1:15" ht="32.25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420</v>
      </c>
      <c r="N2" s="518" t="s">
        <v>399</v>
      </c>
      <c r="O2" s="518" t="s">
        <v>402</v>
      </c>
    </row>
    <row r="3" spans="1:15" ht="23.2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40.5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 s="2" customFormat="1" ht="27" customHeight="1">
      <c r="A6" s="78"/>
      <c r="B6" s="584" t="s">
        <v>481</v>
      </c>
      <c r="C6" s="585"/>
      <c r="D6" s="585"/>
      <c r="E6" s="585"/>
      <c r="F6" s="585"/>
      <c r="G6" s="585"/>
      <c r="H6" s="585"/>
      <c r="I6" s="586"/>
      <c r="J6" s="208">
        <v>128679.2</v>
      </c>
      <c r="K6" s="208">
        <v>126059.24</v>
      </c>
      <c r="L6" s="184">
        <f>K6/J6*100</f>
        <v>97.96395998731731</v>
      </c>
      <c r="M6" s="331">
        <f>AVERAGE(H12,H14:H15,H17:H18,H20:H21)</f>
        <v>0.8571428571428571</v>
      </c>
      <c r="N6" s="428">
        <f>AVERAGE(H8:H10)</f>
        <v>0.99572649572649574</v>
      </c>
      <c r="O6" s="429">
        <f>SUM(I12,I14:I15,I17:I18,I20:I21)</f>
        <v>0.9</v>
      </c>
    </row>
    <row r="7" spans="1:15" ht="26.25" customHeight="1">
      <c r="A7" s="25"/>
      <c r="B7" s="587" t="s">
        <v>193</v>
      </c>
      <c r="C7" s="587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</row>
    <row r="8" spans="1:15" ht="39">
      <c r="A8" s="104">
        <v>1</v>
      </c>
      <c r="B8" s="97" t="s">
        <v>194</v>
      </c>
      <c r="C8" s="103" t="s">
        <v>35</v>
      </c>
      <c r="D8" s="158" t="s">
        <v>31</v>
      </c>
      <c r="E8" s="194">
        <v>39.4</v>
      </c>
      <c r="F8" s="156">
        <v>41.31</v>
      </c>
      <c r="G8" s="156">
        <v>45.32</v>
      </c>
      <c r="H8" s="143">
        <v>1</v>
      </c>
      <c r="I8" s="37" t="s">
        <v>133</v>
      </c>
      <c r="J8" s="37" t="s">
        <v>133</v>
      </c>
      <c r="K8" s="37" t="s">
        <v>133</v>
      </c>
      <c r="L8" s="37" t="s">
        <v>133</v>
      </c>
      <c r="M8" s="37" t="s">
        <v>133</v>
      </c>
      <c r="N8" s="37" t="s">
        <v>133</v>
      </c>
      <c r="O8" s="37" t="s">
        <v>133</v>
      </c>
    </row>
    <row r="9" spans="1:15" ht="26.25">
      <c r="A9" s="104">
        <v>2</v>
      </c>
      <c r="B9" s="97" t="s">
        <v>195</v>
      </c>
      <c r="C9" s="103" t="s">
        <v>196</v>
      </c>
      <c r="D9" s="158" t="s">
        <v>31</v>
      </c>
      <c r="E9" s="194">
        <v>77</v>
      </c>
      <c r="F9" s="156">
        <v>78</v>
      </c>
      <c r="G9" s="156">
        <v>77</v>
      </c>
      <c r="H9" s="143">
        <f t="shared" ref="H9:H10" si="0">G9/F9</f>
        <v>0.98717948717948723</v>
      </c>
      <c r="I9" s="37" t="s">
        <v>133</v>
      </c>
      <c r="J9" s="37" t="s">
        <v>133</v>
      </c>
      <c r="K9" s="37" t="s">
        <v>133</v>
      </c>
      <c r="L9" s="37" t="s">
        <v>133</v>
      </c>
      <c r="M9" s="37" t="s">
        <v>133</v>
      </c>
      <c r="N9" s="37" t="s">
        <v>133</v>
      </c>
      <c r="O9" s="37" t="s">
        <v>133</v>
      </c>
    </row>
    <row r="10" spans="1:15" ht="26.25">
      <c r="A10" s="104">
        <v>3</v>
      </c>
      <c r="B10" s="97" t="s">
        <v>197</v>
      </c>
      <c r="C10" s="103" t="s">
        <v>39</v>
      </c>
      <c r="D10" s="158" t="s">
        <v>31</v>
      </c>
      <c r="E10" s="194">
        <v>81</v>
      </c>
      <c r="F10" s="156">
        <v>100</v>
      </c>
      <c r="G10" s="156">
        <v>100</v>
      </c>
      <c r="H10" s="143">
        <f t="shared" si="0"/>
        <v>1</v>
      </c>
      <c r="I10" s="37" t="s">
        <v>133</v>
      </c>
      <c r="J10" s="37" t="s">
        <v>133</v>
      </c>
      <c r="K10" s="37" t="s">
        <v>133</v>
      </c>
      <c r="L10" s="37" t="s">
        <v>133</v>
      </c>
      <c r="M10" s="37" t="s">
        <v>133</v>
      </c>
      <c r="N10" s="37" t="s">
        <v>133</v>
      </c>
      <c r="O10" s="37" t="s">
        <v>133</v>
      </c>
    </row>
    <row r="11" spans="1:15">
      <c r="A11" s="25"/>
      <c r="B11" s="583" t="s">
        <v>198</v>
      </c>
      <c r="C11" s="583"/>
      <c r="D11" s="583"/>
      <c r="E11" s="583"/>
      <c r="F11" s="583"/>
      <c r="G11" s="583"/>
      <c r="H11" s="583"/>
      <c r="I11" s="25"/>
      <c r="J11" s="25"/>
      <c r="K11" s="25"/>
      <c r="L11" s="25"/>
      <c r="M11" s="25"/>
      <c r="N11" s="25"/>
      <c r="O11" s="25"/>
    </row>
    <row r="12" spans="1:15" ht="26.25">
      <c r="A12" s="104" t="s">
        <v>59</v>
      </c>
      <c r="B12" s="97" t="s">
        <v>199</v>
      </c>
      <c r="C12" s="103" t="s">
        <v>35</v>
      </c>
      <c r="D12" s="141">
        <v>0.2</v>
      </c>
      <c r="E12" s="194">
        <v>100</v>
      </c>
      <c r="F12" s="156">
        <v>100</v>
      </c>
      <c r="G12" s="156">
        <v>100</v>
      </c>
      <c r="H12" s="143">
        <f>G12/F12</f>
        <v>1</v>
      </c>
      <c r="I12" s="325">
        <f>H12*D12</f>
        <v>0.2</v>
      </c>
      <c r="J12" s="37" t="s">
        <v>133</v>
      </c>
      <c r="K12" s="37" t="s">
        <v>133</v>
      </c>
      <c r="L12" s="37" t="s">
        <v>133</v>
      </c>
      <c r="M12" s="37" t="s">
        <v>133</v>
      </c>
      <c r="N12" s="37" t="s">
        <v>133</v>
      </c>
      <c r="O12" s="37" t="s">
        <v>133</v>
      </c>
    </row>
    <row r="13" spans="1:15">
      <c r="A13" s="25"/>
      <c r="B13" s="583" t="s">
        <v>485</v>
      </c>
      <c r="C13" s="583"/>
      <c r="D13" s="583"/>
      <c r="E13" s="583"/>
      <c r="F13" s="583"/>
      <c r="G13" s="583"/>
      <c r="H13" s="583"/>
      <c r="I13" s="326"/>
      <c r="J13" s="25"/>
      <c r="K13" s="25"/>
      <c r="L13" s="25"/>
      <c r="M13" s="25"/>
      <c r="N13" s="25"/>
      <c r="O13" s="25"/>
    </row>
    <row r="14" spans="1:15">
      <c r="A14" s="104" t="s">
        <v>19</v>
      </c>
      <c r="B14" s="102" t="s">
        <v>200</v>
      </c>
      <c r="C14" s="103" t="s">
        <v>196</v>
      </c>
      <c r="D14" s="141">
        <v>0.2</v>
      </c>
      <c r="E14" s="141">
        <v>1</v>
      </c>
      <c r="F14" s="142">
        <v>1</v>
      </c>
      <c r="G14" s="142">
        <v>1</v>
      </c>
      <c r="H14" s="143">
        <f>G14/F14</f>
        <v>1</v>
      </c>
      <c r="I14" s="325">
        <f>H14*D14</f>
        <v>0.2</v>
      </c>
      <c r="J14" s="37" t="s">
        <v>133</v>
      </c>
      <c r="K14" s="37" t="s">
        <v>133</v>
      </c>
      <c r="L14" s="37" t="s">
        <v>133</v>
      </c>
      <c r="M14" s="37" t="s">
        <v>133</v>
      </c>
      <c r="N14" s="37" t="s">
        <v>133</v>
      </c>
      <c r="O14" s="37" t="s">
        <v>133</v>
      </c>
    </row>
    <row r="15" spans="1:15" ht="25.5">
      <c r="A15" s="104" t="s">
        <v>201</v>
      </c>
      <c r="B15" s="102" t="s">
        <v>202</v>
      </c>
      <c r="C15" s="103" t="s">
        <v>196</v>
      </c>
      <c r="D15" s="141">
        <v>0.2</v>
      </c>
      <c r="E15" s="141">
        <v>77</v>
      </c>
      <c r="F15" s="142">
        <v>77</v>
      </c>
      <c r="G15" s="142">
        <v>77</v>
      </c>
      <c r="H15" s="143">
        <f t="shared" ref="H15" si="1">G15/F15</f>
        <v>1</v>
      </c>
      <c r="I15" s="327">
        <f>H15*D15</f>
        <v>0.2</v>
      </c>
      <c r="J15" s="37" t="s">
        <v>133</v>
      </c>
      <c r="K15" s="37" t="s">
        <v>133</v>
      </c>
      <c r="L15" s="37" t="s">
        <v>133</v>
      </c>
      <c r="M15" s="37" t="s">
        <v>133</v>
      </c>
      <c r="N15" s="37" t="s">
        <v>133</v>
      </c>
      <c r="O15" s="37" t="s">
        <v>133</v>
      </c>
    </row>
    <row r="16" spans="1:15">
      <c r="A16" s="25"/>
      <c r="B16" s="583" t="s">
        <v>486</v>
      </c>
      <c r="C16" s="583"/>
      <c r="D16" s="583"/>
      <c r="E16" s="583"/>
      <c r="F16" s="583"/>
      <c r="G16" s="583"/>
      <c r="H16" s="583"/>
      <c r="I16" s="326"/>
      <c r="J16" s="25"/>
      <c r="K16" s="25"/>
      <c r="L16" s="25"/>
      <c r="M16" s="25"/>
      <c r="N16" s="25"/>
      <c r="O16" s="25"/>
    </row>
    <row r="17" spans="1:15" ht="26.25">
      <c r="A17" s="104" t="s">
        <v>23</v>
      </c>
      <c r="B17" s="97" t="s">
        <v>203</v>
      </c>
      <c r="C17" s="103" t="s">
        <v>39</v>
      </c>
      <c r="D17" s="141">
        <v>0.1</v>
      </c>
      <c r="E17" s="141">
        <v>0</v>
      </c>
      <c r="F17" s="142">
        <v>1</v>
      </c>
      <c r="G17" s="142">
        <v>1</v>
      </c>
      <c r="H17" s="143">
        <f>G17/F17</f>
        <v>1</v>
      </c>
      <c r="I17" s="325">
        <f>H17*D17</f>
        <v>0.1</v>
      </c>
      <c r="J17" s="37" t="s">
        <v>133</v>
      </c>
      <c r="K17" s="37" t="s">
        <v>133</v>
      </c>
      <c r="L17" s="37" t="s">
        <v>133</v>
      </c>
      <c r="M17" s="37" t="s">
        <v>133</v>
      </c>
      <c r="N17" s="37" t="s">
        <v>133</v>
      </c>
      <c r="O17" s="37" t="s">
        <v>133</v>
      </c>
    </row>
    <row r="18" spans="1:15" ht="26.25">
      <c r="A18" s="104" t="s">
        <v>24</v>
      </c>
      <c r="B18" s="97" t="s">
        <v>204</v>
      </c>
      <c r="C18" s="103" t="s">
        <v>39</v>
      </c>
      <c r="D18" s="141">
        <v>0.1</v>
      </c>
      <c r="E18" s="141">
        <v>0</v>
      </c>
      <c r="F18" s="142">
        <v>3</v>
      </c>
      <c r="G18" s="142">
        <v>3</v>
      </c>
      <c r="H18" s="163">
        <f>G18/F18</f>
        <v>1</v>
      </c>
      <c r="I18" s="325">
        <f>H18*D18</f>
        <v>0.1</v>
      </c>
      <c r="J18" s="37" t="s">
        <v>133</v>
      </c>
      <c r="K18" s="37" t="s">
        <v>133</v>
      </c>
      <c r="L18" s="37" t="s">
        <v>133</v>
      </c>
      <c r="M18" s="37" t="s">
        <v>133</v>
      </c>
      <c r="N18" s="37" t="s">
        <v>133</v>
      </c>
      <c r="O18" s="37" t="s">
        <v>133</v>
      </c>
    </row>
    <row r="19" spans="1:15">
      <c r="A19" s="25"/>
      <c r="B19" s="583" t="s">
        <v>487</v>
      </c>
      <c r="C19" s="583"/>
      <c r="D19" s="583"/>
      <c r="E19" s="583"/>
      <c r="F19" s="583"/>
      <c r="G19" s="583"/>
      <c r="H19" s="583"/>
      <c r="I19" s="326"/>
      <c r="J19" s="37"/>
      <c r="K19" s="37"/>
      <c r="L19" s="37"/>
      <c r="M19" s="37"/>
      <c r="N19" s="37"/>
      <c r="O19" s="37"/>
    </row>
    <row r="20" spans="1:15" ht="39">
      <c r="A20" s="104" t="s">
        <v>28</v>
      </c>
      <c r="B20" s="97" t="s">
        <v>595</v>
      </c>
      <c r="C20" s="103" t="s">
        <v>39</v>
      </c>
      <c r="D20" s="141">
        <v>0.1</v>
      </c>
      <c r="E20" s="162">
        <v>653</v>
      </c>
      <c r="F20" s="156">
        <v>650</v>
      </c>
      <c r="G20" s="165">
        <v>656</v>
      </c>
      <c r="H20" s="143">
        <v>1</v>
      </c>
      <c r="I20" s="327">
        <f>H20*D20</f>
        <v>0.1</v>
      </c>
      <c r="J20" s="37" t="s">
        <v>133</v>
      </c>
      <c r="K20" s="37" t="s">
        <v>133</v>
      </c>
      <c r="L20" s="37" t="s">
        <v>133</v>
      </c>
      <c r="M20" s="37" t="s">
        <v>133</v>
      </c>
      <c r="N20" s="37" t="s">
        <v>133</v>
      </c>
      <c r="O20" s="37" t="s">
        <v>133</v>
      </c>
    </row>
    <row r="21" spans="1:15" s="2" customFormat="1" ht="26.25">
      <c r="A21" s="322" t="s">
        <v>159</v>
      </c>
      <c r="B21" s="323" t="s">
        <v>596</v>
      </c>
      <c r="C21" s="103" t="s">
        <v>196</v>
      </c>
      <c r="D21" s="141">
        <v>0.1</v>
      </c>
      <c r="E21" s="162">
        <v>1</v>
      </c>
      <c r="F21" s="156">
        <v>0</v>
      </c>
      <c r="G21" s="165">
        <v>0</v>
      </c>
      <c r="H21" s="143">
        <v>0</v>
      </c>
      <c r="I21" s="327">
        <f>H21*D21</f>
        <v>0</v>
      </c>
      <c r="J21" s="37"/>
      <c r="K21" s="37"/>
      <c r="L21" s="37"/>
      <c r="M21" s="37"/>
      <c r="N21" s="37"/>
      <c r="O21" s="37"/>
    </row>
    <row r="22" spans="1:15">
      <c r="B22" s="109" t="s">
        <v>206</v>
      </c>
      <c r="D22" s="324">
        <f>SUM(D12,D14:D15,D17:D18,D20:D21)</f>
        <v>1</v>
      </c>
    </row>
  </sheetData>
  <mergeCells count="26">
    <mergeCell ref="B16:H16"/>
    <mergeCell ref="B19:H19"/>
    <mergeCell ref="B6:I6"/>
    <mergeCell ref="A1:O1"/>
    <mergeCell ref="B7:O7"/>
    <mergeCell ref="B11:H11"/>
    <mergeCell ref="B13:H13"/>
    <mergeCell ref="M2:M5"/>
    <mergeCell ref="N2:N5"/>
    <mergeCell ref="O2:O5"/>
    <mergeCell ref="E3:E5"/>
    <mergeCell ref="F3:I3"/>
    <mergeCell ref="J3:L3"/>
    <mergeCell ref="F4:F5"/>
    <mergeCell ref="G4:G5"/>
    <mergeCell ref="A2:A5"/>
    <mergeCell ref="B2:B5"/>
    <mergeCell ref="C2:C5"/>
    <mergeCell ref="D2:D5"/>
    <mergeCell ref="E2:I2"/>
    <mergeCell ref="J2:L2"/>
    <mergeCell ref="J4:J5"/>
    <mergeCell ref="K4:K5"/>
    <mergeCell ref="L4:L5"/>
    <mergeCell ref="H4:H5"/>
    <mergeCell ref="I4:I5"/>
  </mergeCells>
  <pageMargins left="0.7" right="0.7" top="0.75" bottom="0.75" header="0.3" footer="0.3"/>
  <pageSetup paperSize="9" scale="3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view="pageBreakPreview" zoomScale="90" zoomScaleNormal="100" zoomScaleSheetLayoutView="90" workbookViewId="0">
      <selection activeCell="E8" sqref="E8"/>
    </sheetView>
  </sheetViews>
  <sheetFormatPr defaultRowHeight="15"/>
  <cols>
    <col min="1" max="1" width="4.42578125" customWidth="1"/>
    <col min="2" max="2" width="45.7109375" customWidth="1"/>
    <col min="4" max="4" width="9.28515625" bestFit="1" customWidth="1"/>
    <col min="5" max="5" width="11.85546875" customWidth="1"/>
    <col min="6" max="6" width="12.5703125" bestFit="1" customWidth="1"/>
    <col min="7" max="7" width="13.5703125" customWidth="1"/>
    <col min="8" max="8" width="23.7109375" customWidth="1"/>
    <col min="9" max="9" width="9.42578125" customWidth="1"/>
    <col min="10" max="10" width="12" customWidth="1"/>
    <col min="11" max="11" width="12.140625" customWidth="1"/>
    <col min="12" max="12" width="13.140625" bestFit="1" customWidth="1"/>
    <col min="13" max="13" width="15.28515625" customWidth="1"/>
    <col min="14" max="14" width="10.28515625" customWidth="1"/>
    <col min="15" max="15" width="16.5703125" customWidth="1"/>
  </cols>
  <sheetData>
    <row r="1" spans="1:15" ht="18.75">
      <c r="A1" s="2"/>
      <c r="B1" s="592" t="s">
        <v>564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15" customHeight="1">
      <c r="A2" s="594" t="s">
        <v>1</v>
      </c>
      <c r="B2" s="516" t="s">
        <v>2</v>
      </c>
      <c r="C2" s="516" t="s">
        <v>3</v>
      </c>
      <c r="D2" s="516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93" t="s">
        <v>415</v>
      </c>
      <c r="N2" s="516" t="s">
        <v>399</v>
      </c>
      <c r="O2" s="516" t="s">
        <v>402</v>
      </c>
    </row>
    <row r="3" spans="1:15" ht="15" customHeight="1">
      <c r="A3" s="595"/>
      <c r="B3" s="516"/>
      <c r="C3" s="516"/>
      <c r="D3" s="516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93"/>
      <c r="N3" s="516"/>
      <c r="O3" s="516"/>
    </row>
    <row r="4" spans="1:15" ht="15" customHeight="1">
      <c r="A4" s="595"/>
      <c r="B4" s="516"/>
      <c r="C4" s="516"/>
      <c r="D4" s="516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93"/>
      <c r="N4" s="516"/>
      <c r="O4" s="516"/>
    </row>
    <row r="5" spans="1:15" ht="54" customHeight="1">
      <c r="A5" s="596"/>
      <c r="B5" s="516"/>
      <c r="C5" s="516"/>
      <c r="D5" s="516"/>
      <c r="E5" s="519"/>
      <c r="F5" s="543"/>
      <c r="G5" s="543"/>
      <c r="H5" s="516"/>
      <c r="I5" s="519"/>
      <c r="J5" s="516"/>
      <c r="K5" s="516"/>
      <c r="L5" s="516"/>
      <c r="M5" s="593"/>
      <c r="N5" s="516"/>
      <c r="O5" s="516"/>
    </row>
    <row r="6" spans="1:15" ht="15.75">
      <c r="B6" s="590" t="s">
        <v>245</v>
      </c>
      <c r="C6" s="590"/>
      <c r="D6" s="590"/>
      <c r="E6" s="590"/>
      <c r="F6" s="590"/>
      <c r="G6" s="590"/>
      <c r="H6" s="590"/>
      <c r="I6" s="590"/>
      <c r="J6" s="417">
        <v>108363.29</v>
      </c>
      <c r="K6" s="417">
        <v>102319.89</v>
      </c>
      <c r="L6" s="417">
        <f>K6/J6*100</f>
        <v>94.42301908699892</v>
      </c>
      <c r="M6" s="420" t="s">
        <v>133</v>
      </c>
      <c r="N6" s="430">
        <f>AVERAGE(H8:H11)</f>
        <v>1</v>
      </c>
      <c r="O6" s="430">
        <f>SUM(I14:I19,I22:I24,I27)</f>
        <v>0.89384657994395167</v>
      </c>
    </row>
    <row r="7" spans="1:15" ht="15" customHeight="1">
      <c r="A7" s="282"/>
      <c r="B7" s="589" t="s">
        <v>439</v>
      </c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</row>
    <row r="8" spans="1:15" ht="38.25">
      <c r="A8" s="275" t="s">
        <v>440</v>
      </c>
      <c r="B8" s="276" t="s">
        <v>441</v>
      </c>
      <c r="C8" s="103" t="s">
        <v>119</v>
      </c>
      <c r="D8" s="294" t="s">
        <v>31</v>
      </c>
      <c r="E8" s="294">
        <v>290.74</v>
      </c>
      <c r="F8" s="295">
        <v>272</v>
      </c>
      <c r="G8" s="295">
        <v>316.77</v>
      </c>
      <c r="H8" s="143">
        <v>1</v>
      </c>
      <c r="I8" s="294" t="s">
        <v>31</v>
      </c>
      <c r="J8" s="25"/>
      <c r="K8" s="25"/>
      <c r="L8" s="25"/>
      <c r="M8" s="25"/>
      <c r="N8" s="25"/>
      <c r="O8" s="25"/>
    </row>
    <row r="9" spans="1:15" ht="63.75">
      <c r="A9" s="283" t="s">
        <v>228</v>
      </c>
      <c r="B9" s="277" t="s">
        <v>442</v>
      </c>
      <c r="C9" s="103" t="s">
        <v>0</v>
      </c>
      <c r="D9" s="193" t="s">
        <v>31</v>
      </c>
      <c r="E9" s="221">
        <v>9.52</v>
      </c>
      <c r="F9" s="226">
        <v>9.85</v>
      </c>
      <c r="G9" s="259">
        <v>10.5</v>
      </c>
      <c r="H9" s="143">
        <v>1</v>
      </c>
      <c r="I9" s="193" t="s">
        <v>31</v>
      </c>
      <c r="J9" s="25"/>
      <c r="K9" s="25"/>
      <c r="L9" s="25"/>
      <c r="M9" s="25"/>
      <c r="N9" s="25"/>
      <c r="O9" s="25"/>
    </row>
    <row r="10" spans="1:15">
      <c r="A10" s="283" t="s">
        <v>234</v>
      </c>
      <c r="B10" s="277" t="s">
        <v>443</v>
      </c>
      <c r="C10" s="103" t="s">
        <v>444</v>
      </c>
      <c r="D10" s="296" t="s">
        <v>31</v>
      </c>
      <c r="E10" s="297">
        <v>1991986.3</v>
      </c>
      <c r="F10" s="299">
        <v>1653140</v>
      </c>
      <c r="G10" s="298">
        <v>2034278.2</v>
      </c>
      <c r="H10" s="144">
        <v>1</v>
      </c>
      <c r="I10" s="296" t="s">
        <v>31</v>
      </c>
      <c r="J10" s="25"/>
      <c r="K10" s="25"/>
      <c r="L10" s="25"/>
      <c r="M10" s="25"/>
      <c r="N10" s="25"/>
      <c r="O10" s="25"/>
    </row>
    <row r="11" spans="1:15" ht="24" customHeight="1">
      <c r="A11" s="283" t="s">
        <v>240</v>
      </c>
      <c r="B11" s="277" t="s">
        <v>445</v>
      </c>
      <c r="C11" s="103" t="s">
        <v>386</v>
      </c>
      <c r="D11" s="194" t="s">
        <v>31</v>
      </c>
      <c r="E11" s="297">
        <v>939145.2</v>
      </c>
      <c r="F11" s="298">
        <v>676631.5</v>
      </c>
      <c r="G11" s="298">
        <v>1095000</v>
      </c>
      <c r="H11" s="144">
        <v>1</v>
      </c>
      <c r="I11" s="194" t="s">
        <v>31</v>
      </c>
      <c r="J11" s="25"/>
      <c r="K11" s="25"/>
      <c r="L11" s="25"/>
      <c r="M11" s="25"/>
      <c r="N11" s="25"/>
      <c r="O11" s="25"/>
    </row>
    <row r="12" spans="1:15" ht="15.75" customHeight="1">
      <c r="A12" s="284"/>
      <c r="B12" s="591" t="s">
        <v>446</v>
      </c>
      <c r="C12" s="591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</row>
    <row r="13" spans="1:15" ht="15.75" customHeight="1">
      <c r="A13" s="282"/>
      <c r="B13" s="588" t="s">
        <v>447</v>
      </c>
      <c r="C13" s="588"/>
      <c r="D13" s="588"/>
      <c r="E13" s="588"/>
      <c r="F13" s="588"/>
      <c r="G13" s="588"/>
      <c r="H13" s="588"/>
      <c r="I13" s="588"/>
      <c r="J13" s="417">
        <v>2627.9</v>
      </c>
      <c r="K13" s="417">
        <v>1000</v>
      </c>
      <c r="L13" s="419">
        <f>K13/J13*100</f>
        <v>38.053198371323113</v>
      </c>
      <c r="M13" s="430">
        <f>AVERAGE(H14:H19)</f>
        <v>0.85648148148148151</v>
      </c>
      <c r="N13" s="25"/>
      <c r="O13" s="25"/>
    </row>
    <row r="14" spans="1:15" ht="39">
      <c r="A14" s="285" t="s">
        <v>59</v>
      </c>
      <c r="B14" s="146" t="s">
        <v>448</v>
      </c>
      <c r="C14" s="278" t="s">
        <v>119</v>
      </c>
      <c r="D14" s="192">
        <v>0.1</v>
      </c>
      <c r="E14" s="192">
        <v>1</v>
      </c>
      <c r="F14" s="156">
        <v>9</v>
      </c>
      <c r="G14" s="156">
        <v>2</v>
      </c>
      <c r="H14" s="143">
        <f>G14/F14</f>
        <v>0.22222222222222221</v>
      </c>
      <c r="I14" s="144">
        <f>H14*D14</f>
        <v>2.2222222222222223E-2</v>
      </c>
      <c r="J14" s="25"/>
      <c r="K14" s="25"/>
      <c r="L14" s="25"/>
      <c r="M14" s="25"/>
      <c r="N14" s="25"/>
      <c r="O14" s="25"/>
    </row>
    <row r="15" spans="1:15" ht="51.75">
      <c r="A15" s="285" t="s">
        <v>60</v>
      </c>
      <c r="B15" s="138" t="s">
        <v>581</v>
      </c>
      <c r="C15" s="278" t="s">
        <v>119</v>
      </c>
      <c r="D15" s="192">
        <v>0.1</v>
      </c>
      <c r="E15" s="192">
        <v>1</v>
      </c>
      <c r="F15" s="156">
        <v>12</v>
      </c>
      <c r="G15" s="156">
        <v>11</v>
      </c>
      <c r="H15" s="143">
        <f t="shared" ref="H15" si="0">G15/F15</f>
        <v>0.91666666666666663</v>
      </c>
      <c r="I15" s="144">
        <f t="shared" ref="I15:I17" si="1">H15*D15</f>
        <v>9.1666666666666674E-2</v>
      </c>
      <c r="J15" s="25"/>
      <c r="K15" s="25"/>
      <c r="L15" s="25"/>
      <c r="M15" s="25"/>
      <c r="N15" s="25"/>
      <c r="O15" s="25"/>
    </row>
    <row r="16" spans="1:15" ht="25.5">
      <c r="A16" s="285" t="s">
        <v>62</v>
      </c>
      <c r="B16" s="279" t="s">
        <v>449</v>
      </c>
      <c r="C16" s="278" t="s">
        <v>450</v>
      </c>
      <c r="D16" s="192">
        <v>0.05</v>
      </c>
      <c r="E16" s="192">
        <v>0</v>
      </c>
      <c r="F16" s="156">
        <v>0.5</v>
      </c>
      <c r="G16" s="156">
        <v>1.27</v>
      </c>
      <c r="H16" s="144">
        <v>1</v>
      </c>
      <c r="I16" s="144">
        <f t="shared" si="1"/>
        <v>0.05</v>
      </c>
      <c r="J16" s="25"/>
      <c r="K16" s="25"/>
      <c r="L16" s="25"/>
      <c r="M16" s="25"/>
      <c r="N16" s="25"/>
      <c r="O16" s="25"/>
    </row>
    <row r="17" spans="1:15" ht="38.25">
      <c r="A17" s="285" t="s">
        <v>64</v>
      </c>
      <c r="B17" s="279" t="s">
        <v>451</v>
      </c>
      <c r="C17" s="278" t="s">
        <v>119</v>
      </c>
      <c r="D17" s="192">
        <v>0.02</v>
      </c>
      <c r="E17" s="192">
        <v>0</v>
      </c>
      <c r="F17" s="156">
        <v>1</v>
      </c>
      <c r="G17" s="156">
        <v>1</v>
      </c>
      <c r="H17" s="144">
        <f>G17/F17</f>
        <v>1</v>
      </c>
      <c r="I17" s="144">
        <f t="shared" si="1"/>
        <v>0.02</v>
      </c>
      <c r="J17" s="25"/>
      <c r="K17" s="25"/>
      <c r="L17" s="25"/>
      <c r="M17" s="25"/>
      <c r="N17" s="25"/>
      <c r="O17" s="25"/>
    </row>
    <row r="18" spans="1:15" s="2" customFormat="1" ht="51">
      <c r="A18" s="285" t="s">
        <v>66</v>
      </c>
      <c r="B18" s="279" t="s">
        <v>649</v>
      </c>
      <c r="C18" s="278" t="s">
        <v>119</v>
      </c>
      <c r="D18" s="192">
        <v>0.05</v>
      </c>
      <c r="E18" s="192"/>
      <c r="F18" s="156">
        <v>12</v>
      </c>
      <c r="G18" s="156">
        <v>20</v>
      </c>
      <c r="H18" s="144">
        <v>1</v>
      </c>
      <c r="I18" s="144">
        <f>D18*H18</f>
        <v>0.05</v>
      </c>
      <c r="J18" s="25"/>
      <c r="K18" s="25"/>
      <c r="L18" s="25"/>
      <c r="M18" s="25"/>
      <c r="N18" s="25"/>
      <c r="O18" s="25"/>
    </row>
    <row r="19" spans="1:15" s="2" customFormat="1" ht="38.25">
      <c r="A19" s="285" t="s">
        <v>68</v>
      </c>
      <c r="B19" s="279" t="s">
        <v>650</v>
      </c>
      <c r="C19" s="278" t="s">
        <v>119</v>
      </c>
      <c r="D19" s="192">
        <v>0.05</v>
      </c>
      <c r="E19" s="192"/>
      <c r="F19" s="156">
        <v>1</v>
      </c>
      <c r="G19" s="156">
        <v>2</v>
      </c>
      <c r="H19" s="144">
        <v>1</v>
      </c>
      <c r="I19" s="144">
        <f>D19*H19</f>
        <v>0.05</v>
      </c>
      <c r="J19" s="25"/>
      <c r="K19" s="25"/>
      <c r="L19" s="25"/>
      <c r="M19" s="25"/>
      <c r="N19" s="25"/>
      <c r="O19" s="25"/>
    </row>
    <row r="20" spans="1:15" ht="14.25" customHeight="1">
      <c r="A20" s="286"/>
      <c r="B20" s="589" t="s">
        <v>452</v>
      </c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</row>
    <row r="21" spans="1:15" ht="17.25" customHeight="1">
      <c r="A21" s="287"/>
      <c r="B21" s="588" t="s">
        <v>453</v>
      </c>
      <c r="C21" s="588"/>
      <c r="D21" s="588"/>
      <c r="E21" s="588"/>
      <c r="F21" s="588"/>
      <c r="G21" s="588"/>
      <c r="H21" s="588"/>
      <c r="I21" s="588"/>
      <c r="J21" s="417">
        <v>101947.01</v>
      </c>
      <c r="K21" s="417">
        <v>98520.51</v>
      </c>
      <c r="L21" s="418">
        <f>K21/J21*100</f>
        <v>96.638940170977065</v>
      </c>
      <c r="M21" s="431">
        <f>AVERAGE(H22:H24)</f>
        <v>0.98174766690995297</v>
      </c>
      <c r="N21" s="291"/>
      <c r="O21" s="291"/>
    </row>
    <row r="22" spans="1:15" ht="25.5">
      <c r="A22" s="288" t="s">
        <v>96</v>
      </c>
      <c r="B22" s="279" t="s">
        <v>454</v>
      </c>
      <c r="C22" s="274" t="s">
        <v>124</v>
      </c>
      <c r="D22" s="98">
        <v>0.2</v>
      </c>
      <c r="E22" s="293">
        <v>652.52</v>
      </c>
      <c r="F22" s="82">
        <v>831.33</v>
      </c>
      <c r="G22" s="79">
        <v>826.29</v>
      </c>
      <c r="H22" s="143">
        <f>G22/F22</f>
        <v>0.99393742557107279</v>
      </c>
      <c r="I22" s="143">
        <f>H22*D22</f>
        <v>0.19878748511421457</v>
      </c>
      <c r="J22" s="25"/>
      <c r="K22" s="25"/>
      <c r="L22" s="25"/>
      <c r="M22" s="25"/>
      <c r="N22" s="25"/>
      <c r="O22" s="25"/>
    </row>
    <row r="23" spans="1:15">
      <c r="A23" s="288" t="s">
        <v>21</v>
      </c>
      <c r="B23" s="278" t="s">
        <v>455</v>
      </c>
      <c r="C23" s="274" t="s">
        <v>124</v>
      </c>
      <c r="D23" s="280">
        <v>0.2</v>
      </c>
      <c r="E23" s="280">
        <v>452.62</v>
      </c>
      <c r="F23" s="292">
        <v>467.61</v>
      </c>
      <c r="G23" s="79">
        <v>444.84</v>
      </c>
      <c r="H23" s="143">
        <f>G23/F23</f>
        <v>0.95130557515878611</v>
      </c>
      <c r="I23" s="143">
        <f>H23*D23</f>
        <v>0.19026111503175724</v>
      </c>
      <c r="J23" s="25"/>
      <c r="K23" s="25"/>
      <c r="L23" s="25"/>
      <c r="M23" s="25"/>
      <c r="N23" s="25"/>
      <c r="O23" s="25"/>
    </row>
    <row r="24" spans="1:15">
      <c r="A24" s="330" t="s">
        <v>99</v>
      </c>
      <c r="B24" s="22" t="s">
        <v>494</v>
      </c>
      <c r="C24" s="22" t="s">
        <v>174</v>
      </c>
      <c r="D24" s="22">
        <v>0.13</v>
      </c>
      <c r="E24" s="22">
        <v>154786.6</v>
      </c>
      <c r="F24" s="86">
        <v>168692.7</v>
      </c>
      <c r="G24" s="86">
        <v>235317</v>
      </c>
      <c r="H24" s="143">
        <v>1</v>
      </c>
      <c r="I24" s="143">
        <f>H24*D24</f>
        <v>0.13</v>
      </c>
      <c r="J24" s="22"/>
      <c r="K24" s="22"/>
      <c r="L24" s="22"/>
      <c r="M24" s="25"/>
      <c r="N24" s="25"/>
      <c r="O24" s="25"/>
    </row>
    <row r="25" spans="1:15" ht="15.75" customHeight="1">
      <c r="A25" s="286"/>
      <c r="B25" s="589" t="s">
        <v>456</v>
      </c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</row>
    <row r="26" spans="1:15" ht="36" customHeight="1">
      <c r="A26" s="290"/>
      <c r="B26" s="588" t="s">
        <v>529</v>
      </c>
      <c r="C26" s="588"/>
      <c r="D26" s="588"/>
      <c r="E26" s="588"/>
      <c r="F26" s="588"/>
      <c r="G26" s="588"/>
      <c r="H26" s="588"/>
      <c r="I26" s="588"/>
      <c r="J26" s="415">
        <v>3788.38</v>
      </c>
      <c r="K26" s="415">
        <v>2799.38</v>
      </c>
      <c r="L26" s="416">
        <f>K26/J26*100</f>
        <v>73.893854365190407</v>
      </c>
      <c r="M26" s="431">
        <f>H27</f>
        <v>0.90909090909090906</v>
      </c>
      <c r="N26" s="302"/>
      <c r="O26" s="302"/>
    </row>
    <row r="27" spans="1:15" ht="22.5" customHeight="1">
      <c r="A27" s="289" t="s">
        <v>440</v>
      </c>
      <c r="B27" s="281" t="s">
        <v>457</v>
      </c>
      <c r="C27" s="274" t="s">
        <v>458</v>
      </c>
      <c r="D27" s="31">
        <v>0.1</v>
      </c>
      <c r="E27" s="31">
        <v>77</v>
      </c>
      <c r="F27" s="292">
        <v>77</v>
      </c>
      <c r="G27" s="292">
        <v>70</v>
      </c>
      <c r="H27" s="143">
        <f>G27/F27</f>
        <v>0.90909090909090906</v>
      </c>
      <c r="I27" s="143">
        <f>H27*D27</f>
        <v>9.0909090909090912E-2</v>
      </c>
      <c r="J27" s="301"/>
      <c r="K27" s="301"/>
      <c r="L27" s="300"/>
      <c r="M27" s="25"/>
      <c r="N27" s="25"/>
      <c r="O27" s="25"/>
    </row>
    <row r="28" spans="1:15">
      <c r="D28" s="153">
        <f>SUM(D14:D19,D22:D24,D27)</f>
        <v>1</v>
      </c>
    </row>
  </sheetData>
  <mergeCells count="28">
    <mergeCell ref="A2:A5"/>
    <mergeCell ref="B2:B5"/>
    <mergeCell ref="C2:C5"/>
    <mergeCell ref="D2:D5"/>
    <mergeCell ref="E2:I2"/>
    <mergeCell ref="E3:E5"/>
    <mergeCell ref="F3:I3"/>
    <mergeCell ref="F4:F5"/>
    <mergeCell ref="G4:G5"/>
    <mergeCell ref="H4:H5"/>
    <mergeCell ref="I4:I5"/>
    <mergeCell ref="B1:O1"/>
    <mergeCell ref="J2:L2"/>
    <mergeCell ref="M2:M5"/>
    <mergeCell ref="N2:N5"/>
    <mergeCell ref="O2:O5"/>
    <mergeCell ref="J3:L3"/>
    <mergeCell ref="B21:I21"/>
    <mergeCell ref="B25:O25"/>
    <mergeCell ref="B26:I26"/>
    <mergeCell ref="J4:J5"/>
    <mergeCell ref="K4:K5"/>
    <mergeCell ref="L4:L5"/>
    <mergeCell ref="B6:I6"/>
    <mergeCell ref="B7:O7"/>
    <mergeCell ref="B12:O12"/>
    <mergeCell ref="B13:I13"/>
    <mergeCell ref="B20:O20"/>
  </mergeCells>
  <pageMargins left="0.7" right="0.7" top="0.75" bottom="0.75" header="0.3" footer="0.3"/>
  <pageSetup paperSize="9" scale="3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7"/>
  <sheetViews>
    <sheetView view="pageBreakPreview" zoomScaleNormal="100" zoomScaleSheetLayoutView="100" workbookViewId="0">
      <pane ySplit="5" topLeftCell="A18" activePane="bottomLeft" state="frozen"/>
      <selection pane="bottomLeft" activeCell="H30" sqref="H30"/>
    </sheetView>
  </sheetViews>
  <sheetFormatPr defaultRowHeight="15"/>
  <cols>
    <col min="1" max="1" width="4.42578125" customWidth="1"/>
    <col min="2" max="2" width="45.7109375" customWidth="1"/>
    <col min="3" max="3" width="7.5703125" customWidth="1"/>
    <col min="4" max="4" width="10.28515625" customWidth="1"/>
    <col min="5" max="5" width="8.140625" customWidth="1"/>
    <col min="6" max="6" width="7.85546875" customWidth="1"/>
    <col min="7" max="7" width="7.7109375" customWidth="1"/>
    <col min="8" max="8" width="20.140625" customWidth="1"/>
    <col min="9" max="9" width="9.28515625" customWidth="1"/>
    <col min="10" max="10" width="15.5703125" customWidth="1"/>
    <col min="11" max="11" width="14" customWidth="1"/>
    <col min="12" max="12" width="7.5703125" customWidth="1"/>
    <col min="13" max="13" width="14.85546875" customWidth="1"/>
    <col min="14" max="14" width="10.5703125" customWidth="1"/>
    <col min="15" max="15" width="14.140625" customWidth="1"/>
  </cols>
  <sheetData>
    <row r="1" spans="1:15" ht="18.75">
      <c r="A1" s="2"/>
      <c r="B1" s="598" t="s">
        <v>574</v>
      </c>
      <c r="C1" s="598"/>
      <c r="D1" s="598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</row>
    <row r="2" spans="1:15" ht="28.5" customHeight="1">
      <c r="A2" s="518" t="s">
        <v>1</v>
      </c>
      <c r="B2" s="518" t="s">
        <v>2</v>
      </c>
      <c r="C2" s="518" t="s">
        <v>3</v>
      </c>
      <c r="D2" s="518" t="s">
        <v>405</v>
      </c>
      <c r="E2" s="536" t="s">
        <v>108</v>
      </c>
      <c r="F2" s="536"/>
      <c r="G2" s="536"/>
      <c r="H2" s="536"/>
      <c r="I2" s="536"/>
      <c r="J2" s="536" t="s">
        <v>107</v>
      </c>
      <c r="K2" s="536"/>
      <c r="L2" s="536"/>
      <c r="M2" s="533" t="s">
        <v>415</v>
      </c>
      <c r="N2" s="518" t="s">
        <v>399</v>
      </c>
      <c r="O2" s="518" t="s">
        <v>402</v>
      </c>
    </row>
    <row r="3" spans="1:15" ht="15" customHeight="1">
      <c r="A3" s="539"/>
      <c r="B3" s="539"/>
      <c r="C3" s="539"/>
      <c r="D3" s="539"/>
      <c r="E3" s="518" t="s">
        <v>589</v>
      </c>
      <c r="F3" s="540" t="s">
        <v>588</v>
      </c>
      <c r="G3" s="541"/>
      <c r="H3" s="541"/>
      <c r="I3" s="542"/>
      <c r="J3" s="516" t="s">
        <v>590</v>
      </c>
      <c r="K3" s="516"/>
      <c r="L3" s="516"/>
      <c r="M3" s="534"/>
      <c r="N3" s="539"/>
      <c r="O3" s="539"/>
    </row>
    <row r="4" spans="1:15" ht="15" customHeight="1">
      <c r="A4" s="539"/>
      <c r="B4" s="539"/>
      <c r="C4" s="539"/>
      <c r="D4" s="539"/>
      <c r="E4" s="539"/>
      <c r="F4" s="543" t="s">
        <v>4</v>
      </c>
      <c r="G4" s="543" t="s">
        <v>5</v>
      </c>
      <c r="H4" s="516" t="s">
        <v>400</v>
      </c>
      <c r="I4" s="518" t="s">
        <v>401</v>
      </c>
      <c r="J4" s="516" t="s">
        <v>4</v>
      </c>
      <c r="K4" s="516" t="s">
        <v>5</v>
      </c>
      <c r="L4" s="516" t="s">
        <v>6</v>
      </c>
      <c r="M4" s="534"/>
      <c r="N4" s="539"/>
      <c r="O4" s="539"/>
    </row>
    <row r="5" spans="1:15" ht="52.5" customHeight="1">
      <c r="A5" s="519"/>
      <c r="B5" s="519"/>
      <c r="C5" s="519"/>
      <c r="D5" s="519"/>
      <c r="E5" s="519"/>
      <c r="F5" s="543"/>
      <c r="G5" s="543"/>
      <c r="H5" s="516"/>
      <c r="I5" s="519"/>
      <c r="J5" s="516"/>
      <c r="K5" s="516"/>
      <c r="L5" s="516"/>
      <c r="M5" s="535"/>
      <c r="N5" s="519"/>
      <c r="O5" s="519"/>
    </row>
    <row r="6" spans="1:15" s="2" customFormat="1" ht="19.5" customHeight="1">
      <c r="A6" s="64"/>
      <c r="B6" s="538" t="s">
        <v>137</v>
      </c>
      <c r="C6" s="538"/>
      <c r="D6" s="538"/>
      <c r="E6" s="538"/>
      <c r="F6" s="538"/>
      <c r="G6" s="538"/>
      <c r="H6" s="538"/>
      <c r="I6" s="538"/>
      <c r="J6" s="222">
        <v>1094896.405</v>
      </c>
      <c r="K6" s="222">
        <v>1093848.4439999999</v>
      </c>
      <c r="L6" s="93">
        <f>K6/J6*100</f>
        <v>99.904286743913445</v>
      </c>
      <c r="M6" s="94" t="s">
        <v>31</v>
      </c>
      <c r="N6" s="317">
        <f>AVERAGE(H8:H10,H23)</f>
        <v>0.73275324518831486</v>
      </c>
      <c r="O6" s="317">
        <f>SUM(I13,I16:I17,I20:I21,I26:I28,I30:I32)</f>
        <v>0.79599812114368762</v>
      </c>
    </row>
    <row r="7" spans="1:15">
      <c r="B7" s="601" t="s">
        <v>136</v>
      </c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</row>
    <row r="8" spans="1:15" ht="63.75">
      <c r="A8" s="74" t="s">
        <v>139</v>
      </c>
      <c r="B8" s="65" t="s">
        <v>140</v>
      </c>
      <c r="C8" s="66" t="s">
        <v>141</v>
      </c>
      <c r="D8" s="39" t="s">
        <v>31</v>
      </c>
      <c r="E8" s="41">
        <v>4142</v>
      </c>
      <c r="F8" s="79">
        <v>4128</v>
      </c>
      <c r="G8" s="79">
        <v>4128</v>
      </c>
      <c r="H8" s="128">
        <f>G8/F8</f>
        <v>1</v>
      </c>
      <c r="I8" s="39" t="s">
        <v>133</v>
      </c>
      <c r="J8" s="39" t="s">
        <v>133</v>
      </c>
      <c r="K8" s="39" t="s">
        <v>133</v>
      </c>
      <c r="L8" s="39" t="s">
        <v>133</v>
      </c>
      <c r="M8" s="39" t="s">
        <v>133</v>
      </c>
      <c r="N8" s="39" t="s">
        <v>133</v>
      </c>
      <c r="O8" s="39" t="s">
        <v>133</v>
      </c>
    </row>
    <row r="9" spans="1:15" ht="63.75">
      <c r="A9" s="74">
        <v>2</v>
      </c>
      <c r="B9" s="28" t="s">
        <v>142</v>
      </c>
      <c r="C9" s="66" t="s">
        <v>141</v>
      </c>
      <c r="D9" s="39" t="s">
        <v>31</v>
      </c>
      <c r="E9" s="41">
        <v>181.1</v>
      </c>
      <c r="F9" s="79">
        <v>181.1</v>
      </c>
      <c r="G9" s="79">
        <v>179.7</v>
      </c>
      <c r="H9" s="128">
        <f>G9/F9</f>
        <v>0.99226946438431807</v>
      </c>
      <c r="I9" s="39" t="s">
        <v>133</v>
      </c>
      <c r="J9" s="39" t="s">
        <v>133</v>
      </c>
      <c r="K9" s="39" t="s">
        <v>133</v>
      </c>
      <c r="L9" s="39" t="s">
        <v>133</v>
      </c>
      <c r="M9" s="39" t="s">
        <v>133</v>
      </c>
      <c r="N9" s="39" t="s">
        <v>133</v>
      </c>
      <c r="O9" s="39" t="s">
        <v>133</v>
      </c>
    </row>
    <row r="10" spans="1:15" ht="51">
      <c r="A10" s="74">
        <v>3</v>
      </c>
      <c r="B10" s="35" t="s">
        <v>143</v>
      </c>
      <c r="C10" s="66" t="s">
        <v>0</v>
      </c>
      <c r="D10" s="39" t="s">
        <v>31</v>
      </c>
      <c r="E10" s="41">
        <v>4.8</v>
      </c>
      <c r="F10" s="491">
        <v>0</v>
      </c>
      <c r="G10" s="492">
        <v>5.6</v>
      </c>
      <c r="H10" s="128">
        <v>0</v>
      </c>
      <c r="I10" s="39" t="s">
        <v>133</v>
      </c>
      <c r="J10" s="39" t="s">
        <v>133</v>
      </c>
      <c r="K10" s="39" t="s">
        <v>133</v>
      </c>
      <c r="L10" s="39" t="s">
        <v>133</v>
      </c>
      <c r="M10" s="39" t="s">
        <v>133</v>
      </c>
      <c r="N10" s="39" t="s">
        <v>133</v>
      </c>
      <c r="O10" s="39" t="s">
        <v>133</v>
      </c>
    </row>
    <row r="11" spans="1:15" ht="15.75">
      <c r="B11" s="590" t="s">
        <v>144</v>
      </c>
      <c r="C11" s="590"/>
      <c r="D11" s="590"/>
      <c r="E11" s="590"/>
      <c r="F11" s="590"/>
      <c r="G11" s="590"/>
      <c r="H11" s="590"/>
      <c r="I11" s="590"/>
      <c r="J11" s="205">
        <v>704531.85600000003</v>
      </c>
      <c r="K11" s="205">
        <v>704531.85600000003</v>
      </c>
      <c r="L11" s="95">
        <f>K11/J11*100</f>
        <v>100</v>
      </c>
      <c r="M11" s="203">
        <f>AVERAGE(H13)</f>
        <v>1</v>
      </c>
      <c r="N11" s="89"/>
      <c r="O11" s="89"/>
    </row>
    <row r="12" spans="1:15">
      <c r="B12" s="601" t="s">
        <v>145</v>
      </c>
      <c r="C12" s="601"/>
      <c r="D12" s="601"/>
      <c r="E12" s="601"/>
      <c r="F12" s="601"/>
      <c r="G12" s="601"/>
      <c r="H12" s="601"/>
      <c r="I12" s="601"/>
      <c r="J12" s="601"/>
      <c r="K12" s="601"/>
      <c r="L12" s="601"/>
      <c r="M12" s="601"/>
      <c r="N12" s="601"/>
      <c r="O12" s="601"/>
    </row>
    <row r="13" spans="1:15" ht="51">
      <c r="A13" s="75" t="s">
        <v>59</v>
      </c>
      <c r="B13" s="67" t="s">
        <v>146</v>
      </c>
      <c r="C13" s="66" t="s">
        <v>141</v>
      </c>
      <c r="D13" s="22">
        <v>0.2</v>
      </c>
      <c r="E13" s="41">
        <v>4142</v>
      </c>
      <c r="F13" s="79">
        <v>4128</v>
      </c>
      <c r="G13" s="79">
        <v>4128</v>
      </c>
      <c r="H13" s="128">
        <f>G13/F13</f>
        <v>1</v>
      </c>
      <c r="I13" s="22">
        <f>H13*D13</f>
        <v>0.2</v>
      </c>
      <c r="J13" s="39" t="s">
        <v>133</v>
      </c>
      <c r="K13" s="39" t="s">
        <v>133</v>
      </c>
      <c r="L13" s="39" t="s">
        <v>133</v>
      </c>
      <c r="M13" s="39" t="s">
        <v>133</v>
      </c>
      <c r="N13" s="39"/>
      <c r="O13" s="39"/>
    </row>
    <row r="14" spans="1:15" ht="31.5" customHeight="1">
      <c r="B14" s="600" t="s">
        <v>597</v>
      </c>
      <c r="C14" s="600"/>
      <c r="D14" s="600"/>
      <c r="E14" s="600"/>
      <c r="F14" s="600"/>
      <c r="G14" s="600"/>
      <c r="H14" s="600"/>
      <c r="I14" s="600"/>
      <c r="J14" s="223">
        <v>36436.11</v>
      </c>
      <c r="K14" s="223">
        <v>36436.11</v>
      </c>
      <c r="L14" s="63">
        <f>K14/J14*100</f>
        <v>100</v>
      </c>
      <c r="M14" s="203">
        <f>AVERAGE(H16:H17)</f>
        <v>0.49613473219215903</v>
      </c>
      <c r="N14" s="89"/>
      <c r="O14" s="89"/>
    </row>
    <row r="15" spans="1:15" ht="15" customHeight="1">
      <c r="B15" s="575" t="s">
        <v>598</v>
      </c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</row>
    <row r="16" spans="1:15" ht="63.75">
      <c r="A16" s="74" t="s">
        <v>96</v>
      </c>
      <c r="B16" s="28" t="s">
        <v>142</v>
      </c>
      <c r="C16" s="66" t="s">
        <v>141</v>
      </c>
      <c r="D16" s="22">
        <v>0.19</v>
      </c>
      <c r="E16" s="41">
        <v>181.1</v>
      </c>
      <c r="F16" s="79">
        <v>181.1</v>
      </c>
      <c r="G16" s="79">
        <v>179.7</v>
      </c>
      <c r="H16" s="128">
        <f>G16/F16</f>
        <v>0.99226946438431807</v>
      </c>
      <c r="I16" s="77">
        <f>H16*D16</f>
        <v>0.18853119823302045</v>
      </c>
      <c r="J16" s="39" t="s">
        <v>133</v>
      </c>
      <c r="K16" s="39" t="s">
        <v>133</v>
      </c>
      <c r="L16" s="39" t="s">
        <v>133</v>
      </c>
      <c r="M16" s="39" t="s">
        <v>133</v>
      </c>
      <c r="N16" s="39"/>
      <c r="O16" s="39"/>
    </row>
    <row r="17" spans="1:15" ht="38.25">
      <c r="A17" s="74" t="s">
        <v>21</v>
      </c>
      <c r="B17" s="65" t="s">
        <v>147</v>
      </c>
      <c r="C17" s="68" t="s">
        <v>148</v>
      </c>
      <c r="D17" s="22">
        <v>0.19</v>
      </c>
      <c r="E17" s="73">
        <v>3680</v>
      </c>
      <c r="F17" s="493">
        <v>0</v>
      </c>
      <c r="G17" s="493">
        <v>10165</v>
      </c>
      <c r="H17" s="128">
        <v>0</v>
      </c>
      <c r="I17" s="77">
        <f>H17*D17</f>
        <v>0</v>
      </c>
      <c r="J17" s="39" t="s">
        <v>133</v>
      </c>
      <c r="K17" s="39" t="s">
        <v>133</v>
      </c>
      <c r="L17" s="39" t="s">
        <v>133</v>
      </c>
      <c r="M17" s="39" t="s">
        <v>133</v>
      </c>
      <c r="N17" s="39"/>
      <c r="O17" s="39"/>
    </row>
    <row r="18" spans="1:15" ht="15" customHeight="1">
      <c r="B18" s="600" t="s">
        <v>151</v>
      </c>
      <c r="C18" s="600"/>
      <c r="D18" s="600"/>
      <c r="E18" s="600"/>
      <c r="F18" s="600"/>
      <c r="G18" s="600"/>
      <c r="H18" s="600"/>
      <c r="I18" s="600"/>
      <c r="J18" s="205">
        <v>14614.002</v>
      </c>
      <c r="K18" s="205">
        <v>14298.057000000001</v>
      </c>
      <c r="L18" s="63">
        <f>K18/J18*100</f>
        <v>97.83806653372568</v>
      </c>
      <c r="M18" s="61">
        <f>AVERAGE(H20:H21)</f>
        <v>1</v>
      </c>
      <c r="N18" s="89"/>
      <c r="O18" s="89"/>
    </row>
    <row r="19" spans="1:15" ht="28.5" customHeight="1">
      <c r="B19" s="575" t="s">
        <v>599</v>
      </c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</row>
    <row r="20" spans="1:15" ht="51">
      <c r="A20" s="74" t="s">
        <v>102</v>
      </c>
      <c r="B20" s="65" t="s">
        <v>152</v>
      </c>
      <c r="C20" s="68" t="s">
        <v>0</v>
      </c>
      <c r="D20" s="22">
        <v>0.09</v>
      </c>
      <c r="E20" s="41">
        <v>99.8</v>
      </c>
      <c r="F20" s="79">
        <v>100</v>
      </c>
      <c r="G20" s="79">
        <v>100</v>
      </c>
      <c r="H20" s="467">
        <f>G20/F20</f>
        <v>1</v>
      </c>
      <c r="I20" s="22">
        <f>H20*D20</f>
        <v>0.09</v>
      </c>
      <c r="J20" s="39" t="s">
        <v>133</v>
      </c>
      <c r="K20" s="39" t="s">
        <v>133</v>
      </c>
      <c r="L20" s="39" t="s">
        <v>133</v>
      </c>
      <c r="M20" s="39" t="s">
        <v>133</v>
      </c>
      <c r="N20" s="39"/>
      <c r="O20" s="39"/>
    </row>
    <row r="21" spans="1:15" ht="25.5">
      <c r="A21" s="74" t="s">
        <v>104</v>
      </c>
      <c r="B21" s="65" t="s">
        <v>153</v>
      </c>
      <c r="C21" s="68" t="s">
        <v>0</v>
      </c>
      <c r="D21" s="22">
        <v>0.09</v>
      </c>
      <c r="E21" s="41">
        <v>100</v>
      </c>
      <c r="F21" s="79">
        <v>100</v>
      </c>
      <c r="G21" s="79">
        <v>100</v>
      </c>
      <c r="H21" s="176">
        <f>G21/F21</f>
        <v>1</v>
      </c>
      <c r="I21" s="22">
        <f>H21*D21</f>
        <v>0.09</v>
      </c>
      <c r="J21" s="39" t="s">
        <v>133</v>
      </c>
      <c r="K21" s="39" t="s">
        <v>133</v>
      </c>
      <c r="L21" s="39" t="s">
        <v>133</v>
      </c>
      <c r="M21" s="39" t="s">
        <v>133</v>
      </c>
      <c r="N21" s="39"/>
      <c r="O21" s="39"/>
    </row>
    <row r="22" spans="1:15" ht="15" customHeight="1">
      <c r="B22" s="575" t="s">
        <v>154</v>
      </c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</row>
    <row r="23" spans="1:15" ht="41.25" customHeight="1">
      <c r="A23" s="76" t="s">
        <v>139</v>
      </c>
      <c r="B23" s="69" t="s">
        <v>600</v>
      </c>
      <c r="C23" s="70" t="s">
        <v>9</v>
      </c>
      <c r="D23" s="39" t="s">
        <v>31</v>
      </c>
      <c r="E23" s="49">
        <v>13726</v>
      </c>
      <c r="F23" s="81">
        <v>266633</v>
      </c>
      <c r="G23" s="81">
        <v>250300</v>
      </c>
      <c r="H23" s="177">
        <f>G23/F23</f>
        <v>0.9387435163689416</v>
      </c>
      <c r="I23" s="39" t="s">
        <v>133</v>
      </c>
      <c r="J23" s="39" t="s">
        <v>133</v>
      </c>
      <c r="K23" s="39" t="s">
        <v>133</v>
      </c>
      <c r="L23" s="39" t="s">
        <v>133</v>
      </c>
      <c r="M23" s="39" t="s">
        <v>133</v>
      </c>
      <c r="N23" s="39"/>
      <c r="O23" s="39"/>
    </row>
    <row r="24" spans="1:15" ht="15" customHeight="1">
      <c r="B24" s="600" t="s">
        <v>155</v>
      </c>
      <c r="C24" s="600"/>
      <c r="D24" s="600"/>
      <c r="E24" s="600"/>
      <c r="F24" s="600"/>
      <c r="G24" s="600"/>
      <c r="H24" s="600"/>
      <c r="I24" s="600"/>
      <c r="J24" s="150">
        <v>339314.43699999998</v>
      </c>
      <c r="K24" s="150">
        <v>338582.42099999997</v>
      </c>
      <c r="L24" s="96">
        <f>K24/J24*100</f>
        <v>99.78426617904266</v>
      </c>
      <c r="M24" s="432">
        <f>AVERAGE(H26:H28,H30:H32)</f>
        <v>0.94777884546111257</v>
      </c>
      <c r="N24" s="90"/>
      <c r="O24" s="90"/>
    </row>
    <row r="25" spans="1:15" ht="24.75" customHeight="1">
      <c r="B25" s="575" t="s">
        <v>601</v>
      </c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</row>
    <row r="26" spans="1:15" ht="25.5">
      <c r="A26" s="76" t="s">
        <v>156</v>
      </c>
      <c r="B26" s="71" t="s">
        <v>157</v>
      </c>
      <c r="C26" s="70" t="s">
        <v>158</v>
      </c>
      <c r="D26" s="15">
        <v>0.04</v>
      </c>
      <c r="E26" s="499">
        <v>0.04</v>
      </c>
      <c r="F26" s="79">
        <v>0.04</v>
      </c>
      <c r="G26" s="512">
        <v>4.4999999999999998E-2</v>
      </c>
      <c r="H26" s="128">
        <v>1</v>
      </c>
      <c r="I26" s="77">
        <f>H26*D26</f>
        <v>0.04</v>
      </c>
      <c r="J26" s="39" t="s">
        <v>133</v>
      </c>
      <c r="K26" s="39" t="s">
        <v>133</v>
      </c>
      <c r="L26" s="39" t="s">
        <v>133</v>
      </c>
      <c r="M26" s="39" t="s">
        <v>133</v>
      </c>
      <c r="N26" s="39"/>
      <c r="O26" s="39"/>
    </row>
    <row r="27" spans="1:15" ht="25.5">
      <c r="A27" s="76" t="s">
        <v>159</v>
      </c>
      <c r="B27" s="71" t="s">
        <v>160</v>
      </c>
      <c r="C27" s="70" t="s">
        <v>161</v>
      </c>
      <c r="D27" s="15">
        <v>0.04</v>
      </c>
      <c r="E27" s="328">
        <v>22322.57</v>
      </c>
      <c r="F27" s="83">
        <v>22449</v>
      </c>
      <c r="G27" s="83">
        <v>23966.74</v>
      </c>
      <c r="H27" s="128">
        <f>F27/G27</f>
        <v>0.93667307276667577</v>
      </c>
      <c r="I27" s="77">
        <f>H27*D27</f>
        <v>3.7466922910667035E-2</v>
      </c>
      <c r="J27" s="39" t="s">
        <v>133</v>
      </c>
      <c r="K27" s="39" t="s">
        <v>133</v>
      </c>
      <c r="L27" s="39" t="s">
        <v>133</v>
      </c>
      <c r="M27" s="39" t="s">
        <v>133</v>
      </c>
      <c r="N27" s="39"/>
      <c r="O27" s="39"/>
    </row>
    <row r="28" spans="1:15">
      <c r="A28" s="76" t="s">
        <v>162</v>
      </c>
      <c r="B28" s="71" t="s">
        <v>163</v>
      </c>
      <c r="C28" s="70" t="s">
        <v>0</v>
      </c>
      <c r="D28" s="15">
        <v>0.04</v>
      </c>
      <c r="E28" s="16">
        <v>33</v>
      </c>
      <c r="F28" s="79">
        <v>37</v>
      </c>
      <c r="G28" s="79">
        <v>33</v>
      </c>
      <c r="H28" s="128">
        <v>1</v>
      </c>
      <c r="I28" s="77">
        <f>H28*D28</f>
        <v>0.04</v>
      </c>
      <c r="J28" s="39" t="s">
        <v>133</v>
      </c>
      <c r="K28" s="39" t="s">
        <v>133</v>
      </c>
      <c r="L28" s="39" t="s">
        <v>133</v>
      </c>
      <c r="M28" s="39" t="s">
        <v>133</v>
      </c>
      <c r="N28" s="39"/>
      <c r="O28" s="39"/>
    </row>
    <row r="29" spans="1:15" ht="27" customHeight="1">
      <c r="B29" s="575" t="s">
        <v>602</v>
      </c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</row>
    <row r="30" spans="1:15" ht="25.5">
      <c r="A30" s="54" t="s">
        <v>605</v>
      </c>
      <c r="B30" s="33" t="s">
        <v>157</v>
      </c>
      <c r="C30" s="72" t="s">
        <v>158</v>
      </c>
      <c r="D30" s="15">
        <v>0.04</v>
      </c>
      <c r="E30" s="16">
        <v>0.81</v>
      </c>
      <c r="F30" s="79">
        <v>0.08</v>
      </c>
      <c r="G30" s="79">
        <v>0.06</v>
      </c>
      <c r="H30" s="128">
        <f>G30/F30</f>
        <v>0.75</v>
      </c>
      <c r="I30" s="77">
        <f>H30*D30</f>
        <v>0.03</v>
      </c>
      <c r="J30" s="39" t="s">
        <v>133</v>
      </c>
      <c r="K30" s="39" t="s">
        <v>133</v>
      </c>
      <c r="L30" s="39" t="s">
        <v>133</v>
      </c>
      <c r="M30" s="39" t="s">
        <v>133</v>
      </c>
      <c r="N30" s="39"/>
      <c r="O30" s="39"/>
    </row>
    <row r="31" spans="1:15" ht="25.5">
      <c r="A31" s="54" t="s">
        <v>606</v>
      </c>
      <c r="B31" s="33" t="s">
        <v>160</v>
      </c>
      <c r="C31" s="72" t="s">
        <v>161</v>
      </c>
      <c r="D31" s="15">
        <v>0.04</v>
      </c>
      <c r="E31" s="73">
        <v>3458.9</v>
      </c>
      <c r="F31" s="80">
        <v>4569.3999999999996</v>
      </c>
      <c r="G31" s="80">
        <v>4161.33</v>
      </c>
      <c r="H31" s="128">
        <v>1</v>
      </c>
      <c r="I31" s="77">
        <f t="shared" ref="I31" si="0">H31*D31</f>
        <v>0.04</v>
      </c>
      <c r="J31" s="39" t="s">
        <v>133</v>
      </c>
      <c r="K31" s="39" t="s">
        <v>133</v>
      </c>
      <c r="L31" s="39" t="s">
        <v>133</v>
      </c>
      <c r="M31" s="39" t="s">
        <v>133</v>
      </c>
      <c r="N31" s="39"/>
      <c r="O31" s="39"/>
    </row>
    <row r="32" spans="1:15" s="2" customFormat="1">
      <c r="A32" s="54" t="s">
        <v>607</v>
      </c>
      <c r="B32" s="33" t="s">
        <v>163</v>
      </c>
      <c r="C32" s="72" t="s">
        <v>0</v>
      </c>
      <c r="D32" s="15">
        <v>0.04</v>
      </c>
      <c r="E32" s="16">
        <v>99</v>
      </c>
      <c r="F32" s="79">
        <v>100</v>
      </c>
      <c r="G32" s="79">
        <v>100</v>
      </c>
      <c r="H32" s="128">
        <v>1</v>
      </c>
      <c r="I32" s="77">
        <f t="shared" ref="I32" si="1">H32*D32</f>
        <v>0.04</v>
      </c>
      <c r="J32" s="39"/>
      <c r="K32" s="39"/>
      <c r="L32" s="39"/>
      <c r="M32" s="39"/>
      <c r="N32" s="39"/>
      <c r="O32" s="39"/>
    </row>
    <row r="33" spans="1:15" s="2" customFormat="1" ht="27" hidden="1" customHeight="1">
      <c r="A33" s="54"/>
      <c r="B33" s="597" t="s">
        <v>610</v>
      </c>
      <c r="C33" s="597"/>
      <c r="D33" s="597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</row>
    <row r="34" spans="1:15" s="2" customFormat="1" ht="25.5" hidden="1">
      <c r="A34" s="54" t="s">
        <v>329</v>
      </c>
      <c r="B34" s="495" t="s">
        <v>603</v>
      </c>
      <c r="C34" s="72" t="s">
        <v>158</v>
      </c>
      <c r="D34" s="308">
        <v>0.04</v>
      </c>
      <c r="E34" s="494"/>
      <c r="F34" s="496">
        <v>4.3600000000000003</v>
      </c>
      <c r="G34" s="496">
        <v>4.43</v>
      </c>
      <c r="H34" s="497">
        <v>1</v>
      </c>
      <c r="I34" s="498">
        <f>H34*D34</f>
        <v>0.04</v>
      </c>
      <c r="J34" s="39"/>
      <c r="K34" s="39"/>
      <c r="L34" s="39"/>
      <c r="M34" s="39"/>
      <c r="N34" s="39"/>
      <c r="O34" s="39"/>
    </row>
    <row r="35" spans="1:15" s="2" customFormat="1" ht="25.5" hidden="1">
      <c r="A35" s="54" t="s">
        <v>608</v>
      </c>
      <c r="B35" s="495" t="s">
        <v>160</v>
      </c>
      <c r="C35" s="72" t="s">
        <v>161</v>
      </c>
      <c r="D35" s="308">
        <v>0.04</v>
      </c>
      <c r="E35" s="494"/>
      <c r="F35" s="496">
        <v>370.9</v>
      </c>
      <c r="G35" s="496">
        <v>367.9</v>
      </c>
      <c r="H35" s="497">
        <v>1</v>
      </c>
      <c r="I35" s="498">
        <f t="shared" ref="I35:I36" si="2">H35*D35</f>
        <v>0.04</v>
      </c>
      <c r="J35" s="39"/>
      <c r="K35" s="39"/>
      <c r="L35" s="39"/>
      <c r="M35" s="39"/>
      <c r="N35" s="39"/>
      <c r="O35" s="39"/>
    </row>
    <row r="36" spans="1:15" s="2" customFormat="1" hidden="1">
      <c r="A36" s="54" t="s">
        <v>609</v>
      </c>
      <c r="B36" s="495" t="s">
        <v>604</v>
      </c>
      <c r="C36" s="72" t="s">
        <v>0</v>
      </c>
      <c r="D36" s="308">
        <v>0.04</v>
      </c>
      <c r="E36" s="494"/>
      <c r="F36" s="496">
        <v>74</v>
      </c>
      <c r="G36" s="496">
        <v>51</v>
      </c>
      <c r="H36" s="497">
        <v>1</v>
      </c>
      <c r="I36" s="498">
        <f t="shared" si="2"/>
        <v>0.04</v>
      </c>
      <c r="J36" s="39"/>
      <c r="K36" s="39"/>
      <c r="L36" s="39"/>
      <c r="M36" s="39"/>
      <c r="N36" s="39"/>
      <c r="O36" s="39"/>
    </row>
    <row r="37" spans="1:15" ht="15.75" customHeight="1">
      <c r="B37" s="109" t="s">
        <v>206</v>
      </c>
      <c r="D37">
        <f>SUM(D13,D16:D17,D20:D21,D26:D28,D30:D32)</f>
        <v>1.0000000000000002</v>
      </c>
    </row>
  </sheetData>
  <mergeCells count="33">
    <mergeCell ref="B24:I24"/>
    <mergeCell ref="B25:O25"/>
    <mergeCell ref="B29:O29"/>
    <mergeCell ref="B6:I6"/>
    <mergeCell ref="B7:O7"/>
    <mergeCell ref="B11:I11"/>
    <mergeCell ref="B12:O12"/>
    <mergeCell ref="B14:I14"/>
    <mergeCell ref="B15:O15"/>
    <mergeCell ref="B18:I18"/>
    <mergeCell ref="B19:O19"/>
    <mergeCell ref="B22:O22"/>
    <mergeCell ref="H4:H5"/>
    <mergeCell ref="I4:I5"/>
    <mergeCell ref="J4:J5"/>
    <mergeCell ref="K4:K5"/>
    <mergeCell ref="L4:L5"/>
    <mergeCell ref="B33:O33"/>
    <mergeCell ref="B1:O1"/>
    <mergeCell ref="A2:A5"/>
    <mergeCell ref="B2:B5"/>
    <mergeCell ref="C2:C5"/>
    <mergeCell ref="D2:D5"/>
    <mergeCell ref="E2:I2"/>
    <mergeCell ref="J2:L2"/>
    <mergeCell ref="M2:M5"/>
    <mergeCell ref="N2:N5"/>
    <mergeCell ref="O2:O5"/>
    <mergeCell ref="E3:E5"/>
    <mergeCell ref="F3:I3"/>
    <mergeCell ref="J3:L3"/>
    <mergeCell ref="F4:F5"/>
    <mergeCell ref="G4:G5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18</vt:i4>
      </vt:variant>
    </vt:vector>
  </HeadingPairs>
  <TitlesOfParts>
    <vt:vector size="38" baseType="lpstr">
      <vt:lpstr>Сводная таблица</vt:lpstr>
      <vt:lpstr>Финансы</vt:lpstr>
      <vt:lpstr>Образование</vt:lpstr>
      <vt:lpstr>СОНКО</vt:lpstr>
      <vt:lpstr>Культура</vt:lpstr>
      <vt:lpstr>Молодежь</vt:lpstr>
      <vt:lpstr>Физическая культура</vt:lpstr>
      <vt:lpstr>Отрасли экономики</vt:lpstr>
      <vt:lpstr>Развитие транспорта</vt:lpstr>
      <vt:lpstr>ЖКХ</vt:lpstr>
      <vt:lpstr>Связь</vt:lpstr>
      <vt:lpstr>ДКС</vt:lpstr>
      <vt:lpstr>Сельское хозяйство</vt:lpstr>
      <vt:lpstr>КМНС</vt:lpstr>
      <vt:lpstr>Муниципальное имущество</vt:lpstr>
      <vt:lpstr>Улучшение жилищных усл.</vt:lpstr>
      <vt:lpstr>Охрана труда</vt:lpstr>
      <vt:lpstr>Терроризм-Экстремизм</vt:lpstr>
      <vt:lpstr>Правонарушения</vt:lpstr>
      <vt:lpstr>Лист1</vt:lpstr>
      <vt:lpstr>ДКС!Область_печати</vt:lpstr>
      <vt:lpstr>ЖКХ!Область_печати</vt:lpstr>
      <vt:lpstr>КМНС!Область_печати</vt:lpstr>
      <vt:lpstr>Культура!Область_печати</vt:lpstr>
      <vt:lpstr>Лист1!Область_печати</vt:lpstr>
      <vt:lpstr>Молодежь!Область_печати</vt:lpstr>
      <vt:lpstr>'Муниципальное имущество'!Область_печати</vt:lpstr>
      <vt:lpstr>Образование!Область_печати</vt:lpstr>
      <vt:lpstr>'Отрасли экономики'!Область_печати</vt:lpstr>
      <vt:lpstr>'Охрана труда'!Область_печати</vt:lpstr>
      <vt:lpstr>Правонарушения!Область_печати</vt:lpstr>
      <vt:lpstr>'Развитие транспорта'!Область_печати</vt:lpstr>
      <vt:lpstr>'Сводная таблица'!Область_печати</vt:lpstr>
      <vt:lpstr>Связь!Область_печати</vt:lpstr>
      <vt:lpstr>'Сельское хозяйство'!Область_печати</vt:lpstr>
      <vt:lpstr>СОНКО!Область_печати</vt:lpstr>
      <vt:lpstr>'Физическая культура'!Область_печати</vt:lpstr>
      <vt:lpstr>Финансы!Область_печати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rzaninam@tura.evenkya.ru</dc:creator>
  <cp:lastModifiedBy>tanyginajv</cp:lastModifiedBy>
  <cp:lastPrinted>2024-05-30T09:51:36Z</cp:lastPrinted>
  <dcterms:created xsi:type="dcterms:W3CDTF">2020-01-15T03:57:38Z</dcterms:created>
  <dcterms:modified xsi:type="dcterms:W3CDTF">2024-06-07T11:44:28Z</dcterms:modified>
</cp:coreProperties>
</file>