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lykovaAL\AppData\Local\Microsoft\Windows\INetCache\Content.Outlook\1GKZBILV\"/>
    </mc:Choice>
  </mc:AlternateContent>
  <bookViews>
    <workbookView xWindow="0" yWindow="120" windowWidth="20490" windowHeight="7500"/>
  </bookViews>
  <sheets>
    <sheet name="Лист1" sheetId="1" r:id="rId1"/>
    <sheet name="БК 1" sheetId="2" r:id="rId2"/>
    <sheet name="БК 2" sheetId="3" r:id="rId3"/>
    <sheet name="БК 3" sheetId="5" r:id="rId4"/>
    <sheet name="БК 4" sheetId="6" r:id="rId5"/>
    <sheet name="БК 5" sheetId="7" r:id="rId6"/>
    <sheet name="БК6" sheetId="8" r:id="rId7"/>
    <sheet name="ОБП 1" sheetId="9" r:id="rId8"/>
    <sheet name="ОБП  (2)" sheetId="10" r:id="rId9"/>
    <sheet name="ОБП  (3)" sheetId="11" r:id="rId10"/>
    <sheet name="ОБП  (4)" sheetId="12" r:id="rId11"/>
    <sheet name="ОБП  (5)" sheetId="13" r:id="rId12"/>
    <sheet name="ОБП  (6)" sheetId="15" r:id="rId13"/>
    <sheet name="ОБП  7" sheetId="14" r:id="rId14"/>
    <sheet name="ОБП  (8)" sheetId="16" r:id="rId15"/>
  </sheets>
  <calcPr calcId="162913"/>
</workbook>
</file>

<file path=xl/calcChain.xml><?xml version="1.0" encoding="utf-8"?>
<calcChain xmlns="http://schemas.openxmlformats.org/spreadsheetml/2006/main">
  <c r="D27" i="12" l="1"/>
  <c r="E26" i="10"/>
  <c r="C26" i="10"/>
  <c r="E25" i="10"/>
  <c r="C25" i="10"/>
  <c r="E24" i="10"/>
  <c r="C24" i="10"/>
  <c r="E23" i="10"/>
  <c r="C23" i="10"/>
  <c r="E22" i="10"/>
  <c r="C22" i="10"/>
  <c r="E21" i="10"/>
  <c r="C21" i="10"/>
  <c r="E20" i="10"/>
  <c r="C20" i="10"/>
  <c r="E19" i="10"/>
  <c r="C19" i="10"/>
  <c r="E18" i="10"/>
  <c r="C18" i="10"/>
  <c r="E17" i="10"/>
  <c r="C17" i="10"/>
  <c r="E16" i="10"/>
  <c r="C16" i="10"/>
  <c r="E15" i="10"/>
  <c r="C15" i="10"/>
  <c r="E14" i="10"/>
  <c r="C14" i="10"/>
  <c r="C13" i="10"/>
  <c r="E13" i="10"/>
  <c r="E12" i="10"/>
  <c r="C12" i="10"/>
  <c r="E11" i="10"/>
  <c r="C11" i="10"/>
  <c r="E10" i="10"/>
  <c r="C10" i="10"/>
  <c r="E9" i="10"/>
  <c r="C9" i="10"/>
  <c r="E8" i="10"/>
  <c r="E7" i="10"/>
  <c r="C7" i="10"/>
  <c r="E6" i="10"/>
  <c r="E5" i="10"/>
  <c r="E4" i="10"/>
  <c r="C4" i="10"/>
  <c r="E14" i="9" l="1"/>
  <c r="E26" i="9"/>
  <c r="E4" i="9"/>
  <c r="E17" i="9"/>
  <c r="E20" i="9"/>
  <c r="E19" i="9"/>
  <c r="E18" i="9"/>
  <c r="E6" i="9"/>
  <c r="E5" i="9"/>
  <c r="C22" i="6" l="1"/>
  <c r="I8" i="6"/>
  <c r="B8" i="6"/>
  <c r="I4" i="6"/>
  <c r="E7" i="6"/>
  <c r="E8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4" i="6"/>
  <c r="G14" i="6"/>
  <c r="H13" i="6"/>
  <c r="G13" i="6"/>
  <c r="H12" i="6"/>
  <c r="G12" i="6"/>
  <c r="H11" i="6"/>
  <c r="G11" i="6"/>
  <c r="H10" i="6"/>
  <c r="H9" i="6"/>
  <c r="H8" i="6"/>
  <c r="G8" i="6"/>
  <c r="H7" i="6"/>
  <c r="G7" i="6"/>
  <c r="H6" i="6"/>
  <c r="G6" i="6"/>
  <c r="H4" i="6"/>
  <c r="G4" i="6"/>
  <c r="D14" i="5"/>
  <c r="D13" i="5"/>
  <c r="D12" i="5"/>
  <c r="D26" i="5"/>
  <c r="D11" i="5"/>
  <c r="D4" i="5"/>
  <c r="D17" i="5"/>
  <c r="D20" i="5"/>
  <c r="D23" i="5"/>
  <c r="D16" i="5"/>
  <c r="D19" i="5"/>
  <c r="D24" i="5"/>
  <c r="D25" i="5"/>
  <c r="D22" i="5"/>
  <c r="D18" i="5"/>
  <c r="D21" i="5"/>
  <c r="D7" i="5"/>
  <c r="D6" i="5"/>
  <c r="D15" i="5"/>
  <c r="D5" i="5"/>
  <c r="D10" i="5"/>
  <c r="D9" i="5"/>
  <c r="D8" i="5"/>
  <c r="E8" i="3"/>
  <c r="D8" i="3" l="1"/>
  <c r="E14" i="3"/>
  <c r="D14" i="3"/>
  <c r="E13" i="3"/>
  <c r="D13" i="3"/>
  <c r="E12" i="3"/>
  <c r="D12" i="3"/>
  <c r="E26" i="3"/>
  <c r="D26" i="3"/>
  <c r="E11" i="3"/>
  <c r="D11" i="3"/>
  <c r="E4" i="3"/>
  <c r="D4" i="3"/>
  <c r="E17" i="3"/>
  <c r="D17" i="3"/>
  <c r="E20" i="3"/>
  <c r="D20" i="3"/>
  <c r="E23" i="3"/>
  <c r="D23" i="3"/>
  <c r="E16" i="3"/>
  <c r="D16" i="3"/>
  <c r="E19" i="3"/>
  <c r="D19" i="3"/>
  <c r="E24" i="3"/>
  <c r="D24" i="3"/>
  <c r="E25" i="3"/>
  <c r="D25" i="3"/>
  <c r="E22" i="3"/>
  <c r="D22" i="3"/>
  <c r="E18" i="3"/>
  <c r="D18" i="3"/>
  <c r="E21" i="3"/>
  <c r="D21" i="3"/>
  <c r="E7" i="3"/>
  <c r="D7" i="3"/>
  <c r="E6" i="3"/>
  <c r="D6" i="3"/>
  <c r="B5" i="3" l="1"/>
  <c r="E10" i="3"/>
  <c r="E9" i="3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4" i="1"/>
  <c r="C27" i="10" l="1"/>
  <c r="E27" i="9" l="1"/>
  <c r="E5" i="6" l="1"/>
  <c r="I26" i="6"/>
  <c r="I5" i="6"/>
  <c r="I6" i="6"/>
  <c r="I7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B4" i="1" l="1"/>
  <c r="F27" i="10" l="1"/>
  <c r="B4" i="3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4" i="5"/>
  <c r="E6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4" i="6"/>
  <c r="B23" i="1" l="1"/>
  <c r="B20" i="1"/>
  <c r="B13" i="1"/>
  <c r="B10" i="1"/>
  <c r="B9" i="1"/>
  <c r="E27" i="10" l="1"/>
  <c r="D27" i="10"/>
  <c r="B4" i="6" l="1"/>
  <c r="B6" i="3" l="1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15" i="10" l="1"/>
  <c r="B16" i="10"/>
  <c r="B17" i="10"/>
  <c r="B18" i="10"/>
  <c r="B19" i="10"/>
  <c r="B20" i="10"/>
  <c r="B21" i="10"/>
  <c r="B22" i="10"/>
  <c r="B23" i="10"/>
  <c r="B24" i="10"/>
  <c r="B25" i="10"/>
  <c r="B26" i="10"/>
  <c r="B4" i="10"/>
  <c r="B5" i="10"/>
  <c r="B6" i="10"/>
  <c r="B7" i="10"/>
  <c r="B8" i="10"/>
  <c r="B9" i="10"/>
  <c r="B10" i="10"/>
  <c r="B11" i="10"/>
  <c r="B12" i="10"/>
  <c r="B13" i="10"/>
  <c r="B14" i="10"/>
  <c r="B4" i="7" l="1"/>
  <c r="B5" i="12" l="1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4" i="12"/>
  <c r="B5" i="9" l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4" i="9"/>
  <c r="F27" i="9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5" i="6" l="1"/>
  <c r="B6" i="6"/>
  <c r="B7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9" i="2"/>
  <c r="B20" i="2"/>
  <c r="B22" i="2"/>
  <c r="B23" i="2"/>
  <c r="B24" i="2"/>
  <c r="B25" i="2"/>
  <c r="B26" i="2"/>
  <c r="B4" i="2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4" i="1"/>
  <c r="B5" i="1"/>
  <c r="B6" i="1"/>
  <c r="B7" i="1"/>
  <c r="B8" i="1"/>
  <c r="B11" i="1"/>
  <c r="B12" i="1"/>
  <c r="B14" i="1"/>
  <c r="B15" i="1"/>
  <c r="B16" i="1"/>
  <c r="B17" i="1"/>
  <c r="B18" i="1"/>
  <c r="B19" i="1"/>
  <c r="B21" i="1"/>
  <c r="B22" i="1"/>
  <c r="B24" i="1"/>
  <c r="B25" i="1"/>
  <c r="B26" i="1"/>
</calcChain>
</file>

<file path=xl/sharedStrings.xml><?xml version="1.0" encoding="utf-8"?>
<sst xmlns="http://schemas.openxmlformats.org/spreadsheetml/2006/main" count="712" uniqueCount="121">
  <si>
    <t>Наименование сельского поселения</t>
  </si>
  <si>
    <t>Установление и исполнение расходных обязательств, не связанных с решением вопросов, отнесенных Конституцией Российской Федерации, федеральными законами, законами Красноярского края к полномочиям органов местного самоуправления муниципальных образований</t>
  </si>
  <si>
    <t>Муниципальный правовой акт, устанавливающий порядок и требования проведения публичных слушаний по проекту бюджета муниципального образования</t>
  </si>
  <si>
    <t>Отношение темпа роста расходов бюджета муниципального образования на содержание органов местного самоуправления от темпа роста расходов бюджета</t>
  </si>
  <si>
    <t>Просроченная кредиторская задолженность бюджета муниципального образования по выплате заработной платы и по начислениям на оплату труда</t>
  </si>
  <si>
    <t>Отношение просроченной кредиторской задолженности бюджета муниципального образования к объему расходов бюджета муниципального образования</t>
  </si>
  <si>
    <r>
      <t>Результаты (</t>
    </r>
    <r>
      <rPr>
        <b/>
        <i/>
        <sz val="10"/>
        <rFont val="Times New Roman"/>
        <family val="1"/>
        <charset val="204"/>
      </rPr>
      <t>соблюдение требований Бюджетного кодекса Российской Федерации и соответствие оптимальному  качеству организации и осуществления бюджетного процесса)</t>
    </r>
  </si>
  <si>
    <t>БК1</t>
  </si>
  <si>
    <t>БК2</t>
  </si>
  <si>
    <t>БК3</t>
  </si>
  <si>
    <t>МПА3</t>
  </si>
  <si>
    <t>МПА2</t>
  </si>
  <si>
    <t>МПА1</t>
  </si>
  <si>
    <t>ОБП1</t>
  </si>
  <si>
    <t>ОБП2</t>
  </si>
  <si>
    <t>ОБП3</t>
  </si>
  <si>
    <t>ОБП5</t>
  </si>
  <si>
    <t>ОБП6</t>
  </si>
  <si>
    <t>I степень</t>
  </si>
  <si>
    <t>II степень</t>
  </si>
  <si>
    <t>III степень</t>
  </si>
  <si>
    <t xml:space="preserve"> </t>
  </si>
  <si>
    <t>поселок Ессей</t>
  </si>
  <si>
    <t>поселок Кислокан</t>
  </si>
  <si>
    <t>поселок Нидым</t>
  </si>
  <si>
    <t>поселок Тутончаны</t>
  </si>
  <si>
    <t>поселок Учами</t>
  </si>
  <si>
    <t>поселок Чиринда</t>
  </si>
  <si>
    <t>поселок Эконда</t>
  </si>
  <si>
    <t>поселок Юкта</t>
  </si>
  <si>
    <t>поселок Бурный</t>
  </si>
  <si>
    <t xml:space="preserve"> поселок Полигус</t>
  </si>
  <si>
    <t xml:space="preserve">  поселок Суринда</t>
  </si>
  <si>
    <t xml:space="preserve"> поселок Куюмба</t>
  </si>
  <si>
    <t xml:space="preserve">  поселок Ошарово</t>
  </si>
  <si>
    <t xml:space="preserve">  поселок Суломай</t>
  </si>
  <si>
    <t xml:space="preserve">  поселок Кузьмовка</t>
  </si>
  <si>
    <t xml:space="preserve">  поселок Стрелка-Чуня</t>
  </si>
  <si>
    <t xml:space="preserve">  поселок Оскоба</t>
  </si>
  <si>
    <t xml:space="preserve">  поселок Муторай</t>
  </si>
  <si>
    <t xml:space="preserve"> поселок Чемдальск</t>
  </si>
  <si>
    <t xml:space="preserve"> посёлок Тура</t>
  </si>
  <si>
    <t>село Байкит</t>
  </si>
  <si>
    <t>село Ванавара</t>
  </si>
  <si>
    <t>Количество индикаторов соблюдения требований Бюджетного кодекса Российской Федерации, значения которых соответствуют нормативным (БК) 
из 6 предусмотренных приказом</t>
  </si>
  <si>
    <t>Отношение объема заимствований муниципального образования к сумме, направляемой на финансирование дефицита бюджета и (или) погашение долговых обязательств муниципального образования</t>
  </si>
  <si>
    <t>Отношение объема муниципального долга муниципального образования к общему годовому объему доходов бюджета муниципального образования без учета объема безвозмездных поступлений и (или) поступлений налоговых доходов по дополнительным нормативам отчислений</t>
  </si>
  <si>
    <t>Отношение объема расходов на обслуживание муниципального долга муниципального образования к объему расходов бюджета муниципального образования, 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</si>
  <si>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Отношение дефицита бюджета муниципального образования к общему годовому объему доходов бюджета муниципального образования без учета объема безвозмездных поступлений и (или) поступлений налоговых доходов по дополнительным нормативам отчислений</t>
  </si>
  <si>
    <t>Отношение среднего размера оплаты труда депутатов, выборных должностных лиц местного самоуправления, осуществляющих свои полномочия на постоянной основе, лиц, замещающих иные муниципальные должности, и муниципальных служащих по решению вопросов местного значения, в расчете на одного работника в год, к нормативам формирования расходов на оплату труда, установленным Постановлением Совета администрации Красноярского края от 29.12.2007 N 512-п "О нормативах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и муниципальных служащих"</t>
  </si>
  <si>
    <t>БК4</t>
  </si>
  <si>
    <t>БК5</t>
  </si>
  <si>
    <t>БК6</t>
  </si>
  <si>
    <t>село Мирюга</t>
  </si>
  <si>
    <t xml:space="preserve">1-сооветствует </t>
  </si>
  <si>
    <t xml:space="preserve">0- не сооветствует </t>
  </si>
  <si>
    <t>Количество индикаторов состояния нормативной правовой базы, значения которых соответствуют нормативным (МП) 
из 3 предусмотренных приказом</t>
  </si>
  <si>
    <t>Муниципальный правовой акт, утверждающий перечень муниципальных программ, реализуемых в муниципальном образовании</t>
  </si>
  <si>
    <t>Муниципальный правовой акт, устанавливающий местные налоги на территории муниципального образования</t>
  </si>
  <si>
    <t>Темп роста налоговых и неналоговых доходов бюджета муниципального образованияя</t>
  </si>
  <si>
    <t>ОБП4</t>
  </si>
  <si>
    <t>Размещение на официальном сайте муниципального образования решения о бюджете (с учетом всех внесенных изменений)</t>
  </si>
  <si>
    <t>Размещение нормативных правовых актов, документов и материалов, указанных в индикаторах МПА1 – МПА3 на официальном сайте муниципального образования</t>
  </si>
  <si>
    <t>Наименование поселения</t>
  </si>
  <si>
    <t>А / (Б + В)</t>
  </si>
  <si>
    <t>А</t>
  </si>
  <si>
    <t>Б</t>
  </si>
  <si>
    <t>В</t>
  </si>
  <si>
    <t>объем заимствований муниципального образования в отчетном финансовом году</t>
  </si>
  <si>
    <t>сумма, направляемая в отчетном финансовом году на финансирование дефицита бюджета муниципального образования</t>
  </si>
  <si>
    <t>сумма, направляемая в отчетном финансовом году на погашение долговых обязательств муниципального образования</t>
  </si>
  <si>
    <t>Т.Р.</t>
  </si>
  <si>
    <t>А / (Б - В)</t>
  </si>
  <si>
    <t>объем муниципального долга муниципального образования на конец отчетного финансового года</t>
  </si>
  <si>
    <t>общий объем доходов бюджета муниципального образования в отчетном финансовом году</t>
  </si>
  <si>
    <t>объем безвозмездных поступлений и (или) поступлений налоговых доходов по дополнительным нормативам отчислений в отчетном финансовом году</t>
  </si>
  <si>
    <t>НОРМАТИВНОЕ ЗНАЧЕНИЕ (&lt;= 1) 1:0</t>
  </si>
  <si>
    <t>объем расходов на обслуживание муниципального долга муниципального образования в отчетном финансовом году</t>
  </si>
  <si>
    <t>общий объем расходов бюджета муниципального образования в отчетном финансовом году</t>
  </si>
  <si>
    <t>объем расходов, которые осуществляются за счет субвенций, предоставляемых из бюджетов бюджетной системы Российской Федерации в отчетном финансовом году</t>
  </si>
  <si>
    <t>НОРМАТИВНОЕ ЗНАЧЕНИЕ &lt;= 0,15 1:0</t>
  </si>
  <si>
    <t>(А - Б - В - Г) / (Д - Е), при Б &gt; 0, В &gt; 0, Г &gt; 0, иначе А / (Д - Е)</t>
  </si>
  <si>
    <t>Г</t>
  </si>
  <si>
    <t>Д</t>
  </si>
  <si>
    <t>Е</t>
  </si>
  <si>
    <t>размер дефицита бюджета муниципального образования на конец отчетного финансового года</t>
  </si>
  <si>
    <t>объем поступлений от продажи акций и иных форм участия в капитале, находящихся в собственности муниципального образования в отчетном финансовом году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</si>
  <si>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 в отчетном финансовом году</t>
  </si>
  <si>
    <t>величина снижения остатков средств на счетах по учету средств бюджета муниципального образования в отчетном финансовом году</t>
  </si>
  <si>
    <t>д-е</t>
  </si>
  <si>
    <t>НОРМАТИВНОЕ ЗНАЧЕНИЕ &lt;= 0,10 1:0</t>
  </si>
  <si>
    <t>А/Б</t>
  </si>
  <si>
    <t>НОРМАТИВНОЕ ЗНАЧЕНИЕ &lt;= 1,     1:0</t>
  </si>
  <si>
    <t>средний размер оплаты труда депутатов, выборных должностных лиц местного самоуправления, осуществляющих свои полномочия на постоянной основе, лиц, замещающих иные муниципальные должности, и муниципальных служащих по решению вопросов местного значения, в расчете на одного работника в год в отчетном финансовом году</t>
  </si>
  <si>
    <t>норматив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лиц, замещающих иные муниципальные должности, муниципальных служащих муниципального образования, рассчитанный в соответствии с установленным порядком в отчетном финансовом году</t>
  </si>
  <si>
    <t>НОРМАТИВНОЕ ЗНАЧЕНИЕ -,                 1:0</t>
  </si>
  <si>
    <t>-</t>
  </si>
  <si>
    <t>объем налоговых и неналоговых доходов бюджетов муниципальных образований Эвенкийского муниципального района в отчетном финансовом году</t>
  </si>
  <si>
    <t>объем налоговых и неналоговых доходов бюджетов муниципальных образований Эвенкийского муниципального района в финансовом году, предшествующем отчетному</t>
  </si>
  <si>
    <t>объем налоговых и неналоговых доходов бюджета муниципального образования в отчетном финансовом году</t>
  </si>
  <si>
    <t>объем налоговых и неналоговых доходов бюджета муниципального образования в финансовом году, предшествующем отчетному</t>
  </si>
  <si>
    <t>итого</t>
  </si>
  <si>
    <t>(А / Б) / (В / Г)</t>
  </si>
  <si>
    <t>объем расходов бюджета на содержание органов местного самоуправления i-го муниципального образования в отчетном финансовом году</t>
  </si>
  <si>
    <t>объем расходов бюджета на содержание органов местного самоуправления i-го муниципального образования в финансовом году, предшествующем отчетному финансовому году</t>
  </si>
  <si>
    <t>объем расходов бюджета i-го муниципального образования в отчетном финансовом году</t>
  </si>
  <si>
    <t>объем расходов бюджета i-го муниципального образования в финансовом году, предшествующем отчетному финансовому году</t>
  </si>
  <si>
    <t xml:space="preserve">(А / Б) </t>
  </si>
  <si>
    <t>НОРМАТИВНОЕ ЗНАЧЕНИЕ &lt;= 0,02,     1:0</t>
  </si>
  <si>
    <t>общий объем расходов бюджета муниципального образования в очередном финансовом году</t>
  </si>
  <si>
    <t>критерий -да,     1:0</t>
  </si>
  <si>
    <t>да</t>
  </si>
  <si>
    <t>нет</t>
  </si>
  <si>
    <t>размер кредиторской задолженности (просроченной) бюджета муниципального образования на конец отчетного финансового года</t>
  </si>
  <si>
    <t>*** где расчет по окончательному сроку полномочий, по сокращению ставки, то 1</t>
  </si>
  <si>
    <t>Размещение на официальном сайте муниципального образования отчетов об исполнении бюджета муниципального образования (ежеквартально, за отчетный финансовый год)</t>
  </si>
  <si>
    <t>Размещение на официальном сайте муниципального образования информации о муниципальных программах и фактических результатах ее реализации</t>
  </si>
  <si>
    <t>ОБП7</t>
  </si>
  <si>
    <t>ОБП8</t>
  </si>
  <si>
    <t>Количество индикаторов качества осуществления бюджетного процесса, значения которых соответствуют нормативным (ОБП) 
из 8 предусмотренных приказом</t>
  </si>
  <si>
    <t>*** не размещены отчеты о фактических результатах ее реализации 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</si>
</sst>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"/>
    <numFmt numFmtId="166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3" fillId="0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10" fillId="0" borderId="1" xfId="0" applyFont="1" applyBorder="1"/>
    <xf numFmtId="0" fontId="10" fillId="0" borderId="1" xfId="0" applyFont="1" applyFill="1" applyBorder="1"/>
    <xf numFmtId="0" fontId="0" fillId="0" borderId="1" xfId="0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0" xfId="0" applyNumberFormat="1" applyFont="1"/>
    <xf numFmtId="0" fontId="8" fillId="4" borderId="10" xfId="0" applyFont="1" applyFill="1" applyBorder="1"/>
    <xf numFmtId="0" fontId="0" fillId="0" borderId="0" xfId="0" applyBorder="1"/>
    <xf numFmtId="0" fontId="10" fillId="4" borderId="1" xfId="0" applyFont="1" applyFill="1" applyBorder="1"/>
    <xf numFmtId="0" fontId="0" fillId="4" borderId="1" xfId="0" applyFont="1" applyFill="1" applyBorder="1"/>
    <xf numFmtId="165" fontId="0" fillId="4" borderId="1" xfId="0" applyNumberFormat="1" applyFont="1" applyFill="1" applyBorder="1"/>
    <xf numFmtId="3" fontId="0" fillId="4" borderId="1" xfId="0" applyNumberFormat="1" applyFont="1" applyFill="1" applyBorder="1"/>
    <xf numFmtId="0" fontId="3" fillId="4" borderId="1" xfId="0" applyFont="1" applyFill="1" applyBorder="1" applyAlignment="1">
      <alignment vertical="top" wrapText="1"/>
    </xf>
    <xf numFmtId="0" fontId="0" fillId="4" borderId="1" xfId="0" applyFill="1" applyBorder="1"/>
    <xf numFmtId="4" fontId="0" fillId="4" borderId="1" xfId="0" applyNumberFormat="1" applyFont="1" applyFill="1" applyBorder="1"/>
    <xf numFmtId="4" fontId="10" fillId="4" borderId="1" xfId="0" applyNumberFormat="1" applyFont="1" applyFill="1" applyBorder="1"/>
    <xf numFmtId="0" fontId="0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ont="1" applyFill="1" applyBorder="1"/>
    <xf numFmtId="1" fontId="0" fillId="5" borderId="1" xfId="0" applyNumberFormat="1" applyFont="1" applyFill="1" applyBorder="1"/>
    <xf numFmtId="166" fontId="0" fillId="5" borderId="1" xfId="0" applyNumberFormat="1" applyFont="1" applyFill="1" applyBorder="1"/>
    <xf numFmtId="165" fontId="0" fillId="5" borderId="1" xfId="0" applyNumberFormat="1" applyFont="1" applyFill="1" applyBorder="1"/>
    <xf numFmtId="165" fontId="10" fillId="5" borderId="1" xfId="0" applyNumberFormat="1" applyFont="1" applyFill="1" applyBorder="1"/>
    <xf numFmtId="4" fontId="0" fillId="5" borderId="1" xfId="0" applyNumberFormat="1" applyFont="1" applyFill="1" applyBorder="1"/>
    <xf numFmtId="4" fontId="10" fillId="5" borderId="1" xfId="0" applyNumberFormat="1" applyFont="1" applyFill="1" applyBorder="1"/>
    <xf numFmtId="0" fontId="4" fillId="6" borderId="1" xfId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/>
    <xf numFmtId="0" fontId="10" fillId="7" borderId="1" xfId="0" applyFont="1" applyFill="1" applyBorder="1"/>
    <xf numFmtId="2" fontId="10" fillId="4" borderId="1" xfId="0" applyNumberFormat="1" applyFont="1" applyFill="1" applyBorder="1"/>
    <xf numFmtId="4" fontId="0" fillId="0" borderId="1" xfId="0" applyNumberFormat="1" applyBorder="1"/>
    <xf numFmtId="0" fontId="10" fillId="4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Показатели БК на 1 апреля 2005 2" xfId="2"/>
  </cellStyles>
  <dxfs count="0"/>
  <tableStyles count="0" defaultTableStyle="TableStyleMedium9" defaultPivotStyle="PivotStyleLight16"/>
  <colors>
    <mruColors>
      <color rgb="FFFF6600"/>
      <color rgb="FF33CC33"/>
      <color rgb="FFFF66CC"/>
      <color rgb="FFE6B8B7"/>
      <color rgb="FFCC3300"/>
      <color rgb="FF69E3F3"/>
      <color rgb="FF4CC1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704850</xdr:colOff>
      <xdr:row>2</xdr:row>
      <xdr:rowOff>742950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81000"/>
          <a:ext cx="7048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171450</xdr:colOff>
      <xdr:row>2</xdr:row>
      <xdr:rowOff>142875</xdr:rowOff>
    </xdr:from>
    <xdr:to>
      <xdr:col>2</xdr:col>
      <xdr:colOff>600075</xdr:colOff>
      <xdr:row>2</xdr:row>
      <xdr:rowOff>447675</xdr:rowOff>
    </xdr:to>
    <xdr:pic>
      <xdr:nvPicPr>
        <xdr:cNvPr id="4" name="Рисунок 38" descr="base_23675_169328_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523875"/>
          <a:ext cx="428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2</xdr:row>
      <xdr:rowOff>142875</xdr:rowOff>
    </xdr:from>
    <xdr:to>
      <xdr:col>3</xdr:col>
      <xdr:colOff>542925</xdr:colOff>
      <xdr:row>2</xdr:row>
      <xdr:rowOff>447675</xdr:rowOff>
    </xdr:to>
    <xdr:pic>
      <xdr:nvPicPr>
        <xdr:cNvPr id="8" name="Рисунок 39" descr="base_23675_169328_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523875"/>
          <a:ext cx="4476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426757</xdr:colOff>
      <xdr:row>28</xdr:row>
      <xdr:rowOff>9525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0" y="5781675"/>
          <a:ext cx="426757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445047</xdr:colOff>
      <xdr:row>29</xdr:row>
      <xdr:rowOff>28575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6850" y="5972175"/>
          <a:ext cx="445047" cy="21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5" sqref="G15"/>
    </sheetView>
  </sheetViews>
  <sheetFormatPr defaultRowHeight="15" x14ac:dyDescent="0.25"/>
  <cols>
    <col min="1" max="1" width="24.7109375" customWidth="1"/>
    <col min="2" max="2" width="18.5703125" customWidth="1"/>
    <col min="3" max="3" width="23.42578125" customWidth="1"/>
    <col min="4" max="4" width="29" customWidth="1"/>
    <col min="5" max="5" width="27.140625" customWidth="1"/>
    <col min="6" max="6" width="28" customWidth="1"/>
    <col min="7" max="7" width="49.42578125" customWidth="1"/>
    <col min="8" max="8" width="23.85546875" customWidth="1"/>
    <col min="9" max="9" width="17.28515625" customWidth="1"/>
    <col min="10" max="10" width="17.5703125" customWidth="1"/>
    <col min="11" max="11" width="20.140625" customWidth="1"/>
    <col min="12" max="12" width="19.140625" customWidth="1"/>
    <col min="13" max="13" width="16.42578125" bestFit="1" customWidth="1"/>
    <col min="14" max="14" width="17.5703125" customWidth="1"/>
    <col min="15" max="15" width="16.85546875" customWidth="1"/>
    <col min="16" max="16" width="14" customWidth="1"/>
    <col min="17" max="17" width="13.28515625" customWidth="1"/>
    <col min="18" max="20" width="14.85546875" customWidth="1"/>
    <col min="21" max="21" width="0.140625" customWidth="1"/>
    <col min="22" max="22" width="13.140625" customWidth="1"/>
    <col min="23" max="23" width="12.5703125" customWidth="1"/>
    <col min="24" max="24" width="11.42578125" customWidth="1"/>
  </cols>
  <sheetData>
    <row r="1" spans="1:24" ht="30.75" customHeight="1" x14ac:dyDescent="0.25">
      <c r="A1" s="65" t="s">
        <v>21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s="2" customFormat="1" ht="177.75" customHeight="1" x14ac:dyDescent="0.25">
      <c r="A2" s="1" t="s">
        <v>0</v>
      </c>
      <c r="B2" s="51" t="s">
        <v>44</v>
      </c>
      <c r="C2" s="5" t="s">
        <v>45</v>
      </c>
      <c r="D2" s="5" t="s">
        <v>46</v>
      </c>
      <c r="E2" s="5" t="s">
        <v>47</v>
      </c>
      <c r="F2" s="5" t="s">
        <v>48</v>
      </c>
      <c r="G2" s="6" t="s">
        <v>49</v>
      </c>
      <c r="H2" s="6" t="s">
        <v>1</v>
      </c>
      <c r="I2" s="8" t="s">
        <v>56</v>
      </c>
      <c r="J2" s="6" t="s">
        <v>2</v>
      </c>
      <c r="K2" s="6" t="s">
        <v>57</v>
      </c>
      <c r="L2" s="6" t="s">
        <v>58</v>
      </c>
      <c r="M2" s="8" t="s">
        <v>119</v>
      </c>
      <c r="N2" s="6" t="s">
        <v>59</v>
      </c>
      <c r="O2" s="6" t="s">
        <v>3</v>
      </c>
      <c r="P2" s="6" t="s">
        <v>4</v>
      </c>
      <c r="Q2" s="6" t="s">
        <v>5</v>
      </c>
      <c r="R2" s="6" t="s">
        <v>61</v>
      </c>
      <c r="S2" s="6" t="s">
        <v>115</v>
      </c>
      <c r="T2" s="6" t="s">
        <v>62</v>
      </c>
      <c r="U2" s="6" t="s">
        <v>116</v>
      </c>
      <c r="V2" s="62" t="s">
        <v>6</v>
      </c>
      <c r="W2" s="63"/>
      <c r="X2" s="64"/>
    </row>
    <row r="3" spans="1:24" s="2" customFormat="1" ht="17.25" customHeight="1" x14ac:dyDescent="0.25">
      <c r="A3" s="1"/>
      <c r="B3" s="52"/>
      <c r="C3" s="6" t="s">
        <v>7</v>
      </c>
      <c r="D3" s="6" t="s">
        <v>8</v>
      </c>
      <c r="E3" s="6" t="s">
        <v>9</v>
      </c>
      <c r="F3" s="6" t="s">
        <v>50</v>
      </c>
      <c r="G3" s="6" t="s">
        <v>51</v>
      </c>
      <c r="H3" s="6" t="s">
        <v>52</v>
      </c>
      <c r="I3" s="9"/>
      <c r="J3" s="6" t="s">
        <v>12</v>
      </c>
      <c r="K3" s="6" t="s">
        <v>11</v>
      </c>
      <c r="L3" s="6" t="s">
        <v>10</v>
      </c>
      <c r="M3" s="9"/>
      <c r="N3" s="6" t="s">
        <v>13</v>
      </c>
      <c r="O3" s="6" t="s">
        <v>14</v>
      </c>
      <c r="P3" s="6" t="s">
        <v>15</v>
      </c>
      <c r="Q3" s="6" t="s">
        <v>60</v>
      </c>
      <c r="R3" s="6" t="s">
        <v>16</v>
      </c>
      <c r="S3" s="6" t="s">
        <v>17</v>
      </c>
      <c r="T3" s="6" t="s">
        <v>117</v>
      </c>
      <c r="U3" s="6" t="s">
        <v>118</v>
      </c>
      <c r="V3" s="7" t="s">
        <v>18</v>
      </c>
      <c r="W3" s="7" t="s">
        <v>19</v>
      </c>
      <c r="X3" s="7" t="s">
        <v>20</v>
      </c>
    </row>
    <row r="4" spans="1:24" ht="15.75" customHeight="1" x14ac:dyDescent="0.25">
      <c r="A4" s="12" t="s">
        <v>41</v>
      </c>
      <c r="B4" s="52">
        <f>C4+D4+E4+F4+G4+H4</f>
        <v>6</v>
      </c>
      <c r="C4" s="42">
        <v>1</v>
      </c>
      <c r="D4" s="42">
        <v>1</v>
      </c>
      <c r="E4" s="42">
        <v>1</v>
      </c>
      <c r="F4" s="42">
        <v>1</v>
      </c>
      <c r="G4" s="42">
        <v>1</v>
      </c>
      <c r="H4" s="42">
        <v>1</v>
      </c>
      <c r="I4" s="9">
        <f>J4+K4+L4</f>
        <v>2</v>
      </c>
      <c r="J4" s="42">
        <v>1</v>
      </c>
      <c r="K4" s="42">
        <v>0</v>
      </c>
      <c r="L4" s="42">
        <v>1</v>
      </c>
      <c r="M4" s="9">
        <f>SUM(N4:U4)</f>
        <v>4</v>
      </c>
      <c r="N4" s="59">
        <v>1</v>
      </c>
      <c r="O4" s="60">
        <v>1</v>
      </c>
      <c r="P4" s="60">
        <v>1</v>
      </c>
      <c r="Q4" s="60">
        <v>1</v>
      </c>
      <c r="R4" s="60">
        <v>0</v>
      </c>
      <c r="S4" s="60">
        <v>0</v>
      </c>
      <c r="T4" s="60">
        <v>0</v>
      </c>
      <c r="U4" s="61">
        <v>0</v>
      </c>
      <c r="V4" s="42"/>
      <c r="W4" s="42"/>
      <c r="X4" s="42">
        <v>1</v>
      </c>
    </row>
    <row r="5" spans="1:24" x14ac:dyDescent="0.25">
      <c r="A5" s="14" t="s">
        <v>42</v>
      </c>
      <c r="B5" s="52">
        <f t="shared" ref="B5:B26" si="0">C5+D5+E5+F5+G5+H5</f>
        <v>6</v>
      </c>
      <c r="C5" s="42">
        <v>1</v>
      </c>
      <c r="D5" s="42">
        <v>1</v>
      </c>
      <c r="E5" s="42">
        <v>1</v>
      </c>
      <c r="F5" s="42">
        <v>1</v>
      </c>
      <c r="G5" s="42">
        <v>1</v>
      </c>
      <c r="H5" s="42">
        <v>1</v>
      </c>
      <c r="I5" s="9">
        <f t="shared" ref="I5:I26" si="1">J5+K5+L5</f>
        <v>3</v>
      </c>
      <c r="J5" s="42">
        <v>1</v>
      </c>
      <c r="K5" s="42">
        <v>1</v>
      </c>
      <c r="L5" s="42">
        <v>1</v>
      </c>
      <c r="M5" s="9">
        <f t="shared" ref="M5:M26" si="2">SUM(N5:U5)</f>
        <v>7</v>
      </c>
      <c r="N5" s="59">
        <v>1</v>
      </c>
      <c r="O5" s="60">
        <v>1</v>
      </c>
      <c r="P5" s="60">
        <v>1</v>
      </c>
      <c r="Q5" s="60">
        <v>1</v>
      </c>
      <c r="R5" s="60">
        <v>1</v>
      </c>
      <c r="S5" s="60">
        <v>1</v>
      </c>
      <c r="T5" s="60">
        <v>1</v>
      </c>
      <c r="U5" s="61">
        <v>0</v>
      </c>
      <c r="V5" s="42"/>
      <c r="W5" s="42">
        <v>1</v>
      </c>
      <c r="X5" s="42"/>
    </row>
    <row r="6" spans="1:24" x14ac:dyDescent="0.25">
      <c r="A6" s="14" t="s">
        <v>43</v>
      </c>
      <c r="B6" s="52">
        <f t="shared" si="0"/>
        <v>6</v>
      </c>
      <c r="C6" s="42">
        <v>1</v>
      </c>
      <c r="D6" s="42">
        <v>1</v>
      </c>
      <c r="E6" s="42">
        <v>1</v>
      </c>
      <c r="F6" s="42">
        <v>1</v>
      </c>
      <c r="G6" s="42">
        <v>1</v>
      </c>
      <c r="H6" s="42">
        <v>1</v>
      </c>
      <c r="I6" s="9">
        <f t="shared" si="1"/>
        <v>3</v>
      </c>
      <c r="J6" s="42">
        <v>1</v>
      </c>
      <c r="K6" s="42">
        <v>1</v>
      </c>
      <c r="L6" s="42">
        <v>1</v>
      </c>
      <c r="M6" s="9">
        <f t="shared" si="2"/>
        <v>8</v>
      </c>
      <c r="N6" s="59">
        <v>1</v>
      </c>
      <c r="O6" s="60">
        <v>1</v>
      </c>
      <c r="P6" s="60">
        <v>1</v>
      </c>
      <c r="Q6" s="60">
        <v>1</v>
      </c>
      <c r="R6" s="60">
        <v>1</v>
      </c>
      <c r="S6" s="60">
        <v>1</v>
      </c>
      <c r="T6" s="60">
        <v>1</v>
      </c>
      <c r="U6" s="60">
        <v>1</v>
      </c>
      <c r="V6" s="42">
        <v>1</v>
      </c>
      <c r="W6" s="42"/>
      <c r="X6" s="42"/>
    </row>
    <row r="7" spans="1:24" s="11" customFormat="1" x14ac:dyDescent="0.25">
      <c r="A7" s="14" t="s">
        <v>22</v>
      </c>
      <c r="B7" s="52">
        <f t="shared" si="0"/>
        <v>6</v>
      </c>
      <c r="C7" s="42">
        <v>1</v>
      </c>
      <c r="D7" s="42">
        <v>1</v>
      </c>
      <c r="E7" s="42">
        <v>1</v>
      </c>
      <c r="F7" s="42">
        <v>1</v>
      </c>
      <c r="G7" s="42">
        <v>1</v>
      </c>
      <c r="H7" s="42">
        <v>1</v>
      </c>
      <c r="I7" s="9">
        <f t="shared" si="1"/>
        <v>3</v>
      </c>
      <c r="J7" s="42">
        <v>1</v>
      </c>
      <c r="K7" s="42">
        <v>1</v>
      </c>
      <c r="L7" s="42">
        <v>1</v>
      </c>
      <c r="M7" s="9">
        <f t="shared" si="2"/>
        <v>7</v>
      </c>
      <c r="N7" s="59">
        <v>1</v>
      </c>
      <c r="O7" s="60">
        <v>1</v>
      </c>
      <c r="P7" s="60">
        <v>1</v>
      </c>
      <c r="Q7" s="60">
        <v>1</v>
      </c>
      <c r="R7" s="60">
        <v>1</v>
      </c>
      <c r="S7" s="60">
        <v>1</v>
      </c>
      <c r="T7" s="60">
        <v>1</v>
      </c>
      <c r="U7" s="61">
        <v>0</v>
      </c>
      <c r="V7" s="42"/>
      <c r="W7" s="42">
        <v>1</v>
      </c>
      <c r="X7" s="42"/>
    </row>
    <row r="8" spans="1:24" s="11" customFormat="1" x14ac:dyDescent="0.25">
      <c r="A8" s="14" t="s">
        <v>23</v>
      </c>
      <c r="B8" s="52">
        <f t="shared" si="0"/>
        <v>5</v>
      </c>
      <c r="C8" s="42">
        <v>1</v>
      </c>
      <c r="D8" s="42">
        <v>1</v>
      </c>
      <c r="E8" s="42">
        <v>1</v>
      </c>
      <c r="F8" s="42">
        <v>0</v>
      </c>
      <c r="G8" s="42">
        <v>1</v>
      </c>
      <c r="H8" s="42">
        <v>1</v>
      </c>
      <c r="I8" s="9">
        <f t="shared" si="1"/>
        <v>3</v>
      </c>
      <c r="J8" s="42">
        <v>1</v>
      </c>
      <c r="K8" s="42">
        <v>1</v>
      </c>
      <c r="L8" s="42">
        <v>1</v>
      </c>
      <c r="M8" s="9">
        <f t="shared" si="2"/>
        <v>7</v>
      </c>
      <c r="N8" s="59">
        <v>1</v>
      </c>
      <c r="O8" s="60">
        <v>1</v>
      </c>
      <c r="P8" s="60">
        <v>1</v>
      </c>
      <c r="Q8" s="60">
        <v>1</v>
      </c>
      <c r="R8" s="60">
        <v>1</v>
      </c>
      <c r="S8" s="60">
        <v>1</v>
      </c>
      <c r="T8" s="60">
        <v>1</v>
      </c>
      <c r="U8" s="61">
        <v>0</v>
      </c>
      <c r="V8" s="42"/>
      <c r="W8" s="42"/>
      <c r="X8" s="42">
        <v>1</v>
      </c>
    </row>
    <row r="9" spans="1:24" s="11" customFormat="1" x14ac:dyDescent="0.25">
      <c r="A9" s="14" t="s">
        <v>24</v>
      </c>
      <c r="B9" s="52">
        <f>C9+D9+E9+F9+G9+H9</f>
        <v>6</v>
      </c>
      <c r="C9" s="42">
        <v>1</v>
      </c>
      <c r="D9" s="42">
        <v>1</v>
      </c>
      <c r="E9" s="42">
        <v>1</v>
      </c>
      <c r="F9" s="42">
        <v>1</v>
      </c>
      <c r="G9" s="42">
        <v>1</v>
      </c>
      <c r="H9" s="42">
        <v>1</v>
      </c>
      <c r="I9" s="9">
        <f t="shared" si="1"/>
        <v>3</v>
      </c>
      <c r="J9" s="42">
        <v>1</v>
      </c>
      <c r="K9" s="42">
        <v>1</v>
      </c>
      <c r="L9" s="42">
        <v>1</v>
      </c>
      <c r="M9" s="9">
        <f t="shared" si="2"/>
        <v>7</v>
      </c>
      <c r="N9" s="59">
        <v>1</v>
      </c>
      <c r="O9" s="60">
        <v>1</v>
      </c>
      <c r="P9" s="60">
        <v>1</v>
      </c>
      <c r="Q9" s="60">
        <v>1</v>
      </c>
      <c r="R9" s="60">
        <v>1</v>
      </c>
      <c r="S9" s="60">
        <v>1</v>
      </c>
      <c r="T9" s="60">
        <v>1</v>
      </c>
      <c r="U9" s="61">
        <v>0</v>
      </c>
      <c r="V9" s="42"/>
      <c r="W9" s="42">
        <v>1</v>
      </c>
      <c r="X9" s="42"/>
    </row>
    <row r="10" spans="1:24" s="11" customFormat="1" x14ac:dyDescent="0.25">
      <c r="A10" s="14" t="s">
        <v>25</v>
      </c>
      <c r="B10" s="52">
        <f>C10+D10+E10+F10+G10+H10</f>
        <v>5</v>
      </c>
      <c r="C10" s="42">
        <v>1</v>
      </c>
      <c r="D10" s="42">
        <v>1</v>
      </c>
      <c r="E10" s="42">
        <v>1</v>
      </c>
      <c r="F10" s="42">
        <v>0</v>
      </c>
      <c r="G10" s="42">
        <v>1</v>
      </c>
      <c r="H10" s="42">
        <v>1</v>
      </c>
      <c r="I10" s="9">
        <f t="shared" si="1"/>
        <v>3</v>
      </c>
      <c r="J10" s="42">
        <v>1</v>
      </c>
      <c r="K10" s="42">
        <v>1</v>
      </c>
      <c r="L10" s="42">
        <v>1</v>
      </c>
      <c r="M10" s="9">
        <f t="shared" si="2"/>
        <v>7</v>
      </c>
      <c r="N10" s="59">
        <v>1</v>
      </c>
      <c r="O10" s="60">
        <v>1</v>
      </c>
      <c r="P10" s="60">
        <v>1</v>
      </c>
      <c r="Q10" s="60">
        <v>1</v>
      </c>
      <c r="R10" s="60">
        <v>1</v>
      </c>
      <c r="S10" s="60">
        <v>1</v>
      </c>
      <c r="T10" s="60">
        <v>1</v>
      </c>
      <c r="U10" s="61">
        <v>0</v>
      </c>
      <c r="V10" s="42"/>
      <c r="W10" s="42"/>
      <c r="X10" s="42">
        <v>1</v>
      </c>
    </row>
    <row r="11" spans="1:24" s="11" customFormat="1" x14ac:dyDescent="0.25">
      <c r="A11" s="14" t="s">
        <v>26</v>
      </c>
      <c r="B11" s="52">
        <f t="shared" si="0"/>
        <v>6</v>
      </c>
      <c r="C11" s="42">
        <v>1</v>
      </c>
      <c r="D11" s="42">
        <v>1</v>
      </c>
      <c r="E11" s="42">
        <v>1</v>
      </c>
      <c r="F11" s="42">
        <v>1</v>
      </c>
      <c r="G11" s="42">
        <v>1</v>
      </c>
      <c r="H11" s="42">
        <v>1</v>
      </c>
      <c r="I11" s="9">
        <f t="shared" si="1"/>
        <v>3</v>
      </c>
      <c r="J11" s="42">
        <v>1</v>
      </c>
      <c r="K11" s="42">
        <v>1</v>
      </c>
      <c r="L11" s="42">
        <v>1</v>
      </c>
      <c r="M11" s="9">
        <f t="shared" si="2"/>
        <v>7</v>
      </c>
      <c r="N11" s="59">
        <v>1</v>
      </c>
      <c r="O11" s="60">
        <v>1</v>
      </c>
      <c r="P11" s="60">
        <v>1</v>
      </c>
      <c r="Q11" s="60">
        <v>1</v>
      </c>
      <c r="R11" s="60">
        <v>1</v>
      </c>
      <c r="S11" s="60">
        <v>1</v>
      </c>
      <c r="T11" s="60">
        <v>1</v>
      </c>
      <c r="U11" s="61">
        <v>0</v>
      </c>
      <c r="V11" s="42"/>
      <c r="W11" s="42">
        <v>1</v>
      </c>
      <c r="X11" s="42"/>
    </row>
    <row r="12" spans="1:24" x14ac:dyDescent="0.25">
      <c r="A12" s="14" t="s">
        <v>27</v>
      </c>
      <c r="B12" s="52">
        <f t="shared" si="0"/>
        <v>5</v>
      </c>
      <c r="C12" s="42">
        <v>1</v>
      </c>
      <c r="D12" s="42">
        <v>1</v>
      </c>
      <c r="E12" s="42">
        <v>1</v>
      </c>
      <c r="F12" s="42">
        <v>1</v>
      </c>
      <c r="G12" s="42">
        <v>0</v>
      </c>
      <c r="H12" s="42">
        <v>1</v>
      </c>
      <c r="I12" s="9">
        <f t="shared" si="1"/>
        <v>3</v>
      </c>
      <c r="J12" s="42">
        <v>1</v>
      </c>
      <c r="K12" s="42">
        <v>1</v>
      </c>
      <c r="L12" s="42">
        <v>1</v>
      </c>
      <c r="M12" s="9">
        <f t="shared" si="2"/>
        <v>6</v>
      </c>
      <c r="N12" s="59">
        <v>1</v>
      </c>
      <c r="O12" s="60">
        <v>0</v>
      </c>
      <c r="P12" s="60">
        <v>1</v>
      </c>
      <c r="Q12" s="60">
        <v>1</v>
      </c>
      <c r="R12" s="60">
        <v>1</v>
      </c>
      <c r="S12" s="60">
        <v>1</v>
      </c>
      <c r="T12" s="60">
        <v>1</v>
      </c>
      <c r="U12" s="61">
        <v>0</v>
      </c>
      <c r="V12" s="42"/>
      <c r="W12" s="42"/>
      <c r="X12" s="42">
        <v>1</v>
      </c>
    </row>
    <row r="13" spans="1:24" x14ac:dyDescent="0.25">
      <c r="A13" s="14" t="s">
        <v>28</v>
      </c>
      <c r="B13" s="52">
        <f>C13+D13+E13+F13+G13+H13</f>
        <v>5</v>
      </c>
      <c r="C13" s="42">
        <v>1</v>
      </c>
      <c r="D13" s="42">
        <v>1</v>
      </c>
      <c r="E13" s="42">
        <v>1</v>
      </c>
      <c r="F13" s="42">
        <v>0</v>
      </c>
      <c r="G13" s="42">
        <v>1</v>
      </c>
      <c r="H13" s="42">
        <v>1</v>
      </c>
      <c r="I13" s="9">
        <f t="shared" si="1"/>
        <v>3</v>
      </c>
      <c r="J13" s="42">
        <v>1</v>
      </c>
      <c r="K13" s="42">
        <v>1</v>
      </c>
      <c r="L13" s="42">
        <v>1</v>
      </c>
      <c r="M13" s="9">
        <f t="shared" si="2"/>
        <v>7</v>
      </c>
      <c r="N13" s="59">
        <v>1</v>
      </c>
      <c r="O13" s="60">
        <v>1</v>
      </c>
      <c r="P13" s="60">
        <v>1</v>
      </c>
      <c r="Q13" s="60">
        <v>1</v>
      </c>
      <c r="R13" s="60">
        <v>1</v>
      </c>
      <c r="S13" s="60">
        <v>1</v>
      </c>
      <c r="T13" s="60">
        <v>1</v>
      </c>
      <c r="U13" s="61">
        <v>0</v>
      </c>
      <c r="V13" s="42"/>
      <c r="W13" s="42"/>
      <c r="X13" s="42">
        <v>1</v>
      </c>
    </row>
    <row r="14" spans="1:24" s="11" customFormat="1" x14ac:dyDescent="0.25">
      <c r="A14" s="14" t="s">
        <v>29</v>
      </c>
      <c r="B14" s="52">
        <f t="shared" si="0"/>
        <v>5</v>
      </c>
      <c r="C14" s="42">
        <v>1</v>
      </c>
      <c r="D14" s="42">
        <v>1</v>
      </c>
      <c r="E14" s="42">
        <v>1</v>
      </c>
      <c r="F14" s="42">
        <v>0</v>
      </c>
      <c r="G14" s="42">
        <v>1</v>
      </c>
      <c r="H14" s="42">
        <v>1</v>
      </c>
      <c r="I14" s="9">
        <f t="shared" si="1"/>
        <v>3</v>
      </c>
      <c r="J14" s="42">
        <v>1</v>
      </c>
      <c r="K14" s="42">
        <v>1</v>
      </c>
      <c r="L14" s="42">
        <v>1</v>
      </c>
      <c r="M14" s="9">
        <f t="shared" si="2"/>
        <v>6</v>
      </c>
      <c r="N14" s="59">
        <v>1</v>
      </c>
      <c r="O14" s="60">
        <v>0</v>
      </c>
      <c r="P14" s="60">
        <v>1</v>
      </c>
      <c r="Q14" s="60">
        <v>1</v>
      </c>
      <c r="R14" s="60">
        <v>1</v>
      </c>
      <c r="S14" s="60">
        <v>1</v>
      </c>
      <c r="T14" s="60">
        <v>1</v>
      </c>
      <c r="U14" s="61">
        <v>0</v>
      </c>
      <c r="V14" s="42"/>
      <c r="W14" s="42"/>
      <c r="X14" s="42">
        <v>1</v>
      </c>
    </row>
    <row r="15" spans="1:24" s="11" customFormat="1" x14ac:dyDescent="0.25">
      <c r="A15" s="14" t="s">
        <v>30</v>
      </c>
      <c r="B15" s="52">
        <f t="shared" si="0"/>
        <v>6</v>
      </c>
      <c r="C15" s="42">
        <v>1</v>
      </c>
      <c r="D15" s="42">
        <v>1</v>
      </c>
      <c r="E15" s="42">
        <v>1</v>
      </c>
      <c r="F15" s="42">
        <v>1</v>
      </c>
      <c r="G15" s="42">
        <v>1</v>
      </c>
      <c r="H15" s="42">
        <v>1</v>
      </c>
      <c r="I15" s="9">
        <f t="shared" si="1"/>
        <v>3</v>
      </c>
      <c r="J15" s="42">
        <v>1</v>
      </c>
      <c r="K15" s="42">
        <v>1</v>
      </c>
      <c r="L15" s="42">
        <v>1</v>
      </c>
      <c r="M15" s="9">
        <f t="shared" si="2"/>
        <v>6</v>
      </c>
      <c r="N15" s="59">
        <v>1</v>
      </c>
      <c r="O15" s="60">
        <v>0</v>
      </c>
      <c r="P15" s="60">
        <v>1</v>
      </c>
      <c r="Q15" s="60">
        <v>1</v>
      </c>
      <c r="R15" s="60">
        <v>1</v>
      </c>
      <c r="S15" s="60">
        <v>1</v>
      </c>
      <c r="T15" s="60">
        <v>1</v>
      </c>
      <c r="U15" s="61">
        <v>0</v>
      </c>
      <c r="V15" s="42"/>
      <c r="W15" s="42">
        <v>1</v>
      </c>
      <c r="X15" s="42"/>
    </row>
    <row r="16" spans="1:24" s="10" customFormat="1" x14ac:dyDescent="0.25">
      <c r="A16" s="4" t="s">
        <v>31</v>
      </c>
      <c r="B16" s="52">
        <f t="shared" si="0"/>
        <v>6</v>
      </c>
      <c r="C16" s="42">
        <v>1</v>
      </c>
      <c r="D16" s="42">
        <v>1</v>
      </c>
      <c r="E16" s="42">
        <v>1</v>
      </c>
      <c r="F16" s="42">
        <v>1</v>
      </c>
      <c r="G16" s="42">
        <v>1</v>
      </c>
      <c r="H16" s="42">
        <v>1</v>
      </c>
      <c r="I16" s="9">
        <f t="shared" si="1"/>
        <v>3</v>
      </c>
      <c r="J16" s="42">
        <v>1</v>
      </c>
      <c r="K16" s="42">
        <v>1</v>
      </c>
      <c r="L16" s="42">
        <v>1</v>
      </c>
      <c r="M16" s="9">
        <f t="shared" si="2"/>
        <v>7</v>
      </c>
      <c r="N16" s="59">
        <v>1</v>
      </c>
      <c r="O16" s="60">
        <v>1</v>
      </c>
      <c r="P16" s="60">
        <v>1</v>
      </c>
      <c r="Q16" s="60">
        <v>1</v>
      </c>
      <c r="R16" s="60">
        <v>1</v>
      </c>
      <c r="S16" s="60">
        <v>1</v>
      </c>
      <c r="T16" s="60">
        <v>1</v>
      </c>
      <c r="U16" s="61">
        <v>0</v>
      </c>
      <c r="V16" s="43"/>
      <c r="W16" s="43">
        <v>1</v>
      </c>
      <c r="X16" s="42"/>
    </row>
    <row r="17" spans="1:24" s="10" customFormat="1" x14ac:dyDescent="0.25">
      <c r="A17" s="4" t="s">
        <v>32</v>
      </c>
      <c r="B17" s="52">
        <f t="shared" si="0"/>
        <v>6</v>
      </c>
      <c r="C17" s="42">
        <v>1</v>
      </c>
      <c r="D17" s="42">
        <v>1</v>
      </c>
      <c r="E17" s="42">
        <v>1</v>
      </c>
      <c r="F17" s="42">
        <v>1</v>
      </c>
      <c r="G17" s="42">
        <v>1</v>
      </c>
      <c r="H17" s="42">
        <v>1</v>
      </c>
      <c r="I17" s="9">
        <f t="shared" si="1"/>
        <v>3</v>
      </c>
      <c r="J17" s="42">
        <v>1</v>
      </c>
      <c r="K17" s="42">
        <v>1</v>
      </c>
      <c r="L17" s="42">
        <v>1</v>
      </c>
      <c r="M17" s="9">
        <f t="shared" si="2"/>
        <v>7</v>
      </c>
      <c r="N17" s="59">
        <v>1</v>
      </c>
      <c r="O17" s="60">
        <v>1</v>
      </c>
      <c r="P17" s="60">
        <v>1</v>
      </c>
      <c r="Q17" s="60">
        <v>1</v>
      </c>
      <c r="R17" s="60">
        <v>1</v>
      </c>
      <c r="S17" s="60">
        <v>1</v>
      </c>
      <c r="T17" s="60">
        <v>1</v>
      </c>
      <c r="U17" s="61">
        <v>0</v>
      </c>
      <c r="V17" s="43"/>
      <c r="W17" s="43">
        <v>1</v>
      </c>
      <c r="X17" s="42"/>
    </row>
    <row r="18" spans="1:24" s="3" customFormat="1" x14ac:dyDescent="0.25">
      <c r="A18" s="4" t="s">
        <v>33</v>
      </c>
      <c r="B18" s="52">
        <f t="shared" si="0"/>
        <v>6</v>
      </c>
      <c r="C18" s="42">
        <v>1</v>
      </c>
      <c r="D18" s="42">
        <v>1</v>
      </c>
      <c r="E18" s="42">
        <v>1</v>
      </c>
      <c r="F18" s="42">
        <v>1</v>
      </c>
      <c r="G18" s="42">
        <v>1</v>
      </c>
      <c r="H18" s="42">
        <v>1</v>
      </c>
      <c r="I18" s="9">
        <f t="shared" si="1"/>
        <v>3</v>
      </c>
      <c r="J18" s="42">
        <v>1</v>
      </c>
      <c r="K18" s="42">
        <v>1</v>
      </c>
      <c r="L18" s="42">
        <v>1</v>
      </c>
      <c r="M18" s="9">
        <f t="shared" si="2"/>
        <v>7</v>
      </c>
      <c r="N18" s="59">
        <v>1</v>
      </c>
      <c r="O18" s="60">
        <v>1</v>
      </c>
      <c r="P18" s="60">
        <v>1</v>
      </c>
      <c r="Q18" s="60">
        <v>1</v>
      </c>
      <c r="R18" s="60">
        <v>1</v>
      </c>
      <c r="S18" s="60">
        <v>1</v>
      </c>
      <c r="T18" s="60">
        <v>1</v>
      </c>
      <c r="U18" s="61">
        <v>0</v>
      </c>
      <c r="V18" s="43"/>
      <c r="W18" s="43">
        <v>1</v>
      </c>
      <c r="X18" s="42"/>
    </row>
    <row r="19" spans="1:24" s="10" customFormat="1" x14ac:dyDescent="0.25">
      <c r="A19" s="4" t="s">
        <v>34</v>
      </c>
      <c r="B19" s="52">
        <f t="shared" si="0"/>
        <v>6</v>
      </c>
      <c r="C19" s="42">
        <v>1</v>
      </c>
      <c r="D19" s="42">
        <v>1</v>
      </c>
      <c r="E19" s="42">
        <v>1</v>
      </c>
      <c r="F19" s="42">
        <v>1</v>
      </c>
      <c r="G19" s="42">
        <v>1</v>
      </c>
      <c r="H19" s="42">
        <v>1</v>
      </c>
      <c r="I19" s="9">
        <f t="shared" si="1"/>
        <v>3</v>
      </c>
      <c r="J19" s="42">
        <v>1</v>
      </c>
      <c r="K19" s="42">
        <v>1</v>
      </c>
      <c r="L19" s="42">
        <v>1</v>
      </c>
      <c r="M19" s="9">
        <f t="shared" si="2"/>
        <v>7</v>
      </c>
      <c r="N19" s="59">
        <v>1</v>
      </c>
      <c r="O19" s="60">
        <v>1</v>
      </c>
      <c r="P19" s="60">
        <v>1</v>
      </c>
      <c r="Q19" s="60">
        <v>1</v>
      </c>
      <c r="R19" s="60">
        <v>1</v>
      </c>
      <c r="S19" s="60">
        <v>1</v>
      </c>
      <c r="T19" s="60">
        <v>1</v>
      </c>
      <c r="U19" s="61">
        <v>0</v>
      </c>
      <c r="V19" s="43"/>
      <c r="W19" s="43">
        <v>1</v>
      </c>
      <c r="X19" s="42"/>
    </row>
    <row r="20" spans="1:24" s="10" customFormat="1" x14ac:dyDescent="0.25">
      <c r="A20" s="4" t="s">
        <v>35</v>
      </c>
      <c r="B20" s="52">
        <f>C20+D20+E20+F20+G20+H20</f>
        <v>5</v>
      </c>
      <c r="C20" s="42">
        <v>1</v>
      </c>
      <c r="D20" s="42">
        <v>1</v>
      </c>
      <c r="E20" s="42">
        <v>1</v>
      </c>
      <c r="F20" s="42">
        <v>1</v>
      </c>
      <c r="G20" s="42">
        <v>0</v>
      </c>
      <c r="H20" s="42">
        <v>1</v>
      </c>
      <c r="I20" s="9">
        <f t="shared" si="1"/>
        <v>3</v>
      </c>
      <c r="J20" s="42">
        <v>1</v>
      </c>
      <c r="K20" s="42">
        <v>1</v>
      </c>
      <c r="L20" s="42">
        <v>1</v>
      </c>
      <c r="M20" s="9">
        <f t="shared" si="2"/>
        <v>7</v>
      </c>
      <c r="N20" s="59">
        <v>1</v>
      </c>
      <c r="O20" s="60">
        <v>1</v>
      </c>
      <c r="P20" s="60">
        <v>1</v>
      </c>
      <c r="Q20" s="60">
        <v>1</v>
      </c>
      <c r="R20" s="60">
        <v>1</v>
      </c>
      <c r="S20" s="60">
        <v>1</v>
      </c>
      <c r="T20" s="60">
        <v>1</v>
      </c>
      <c r="U20" s="61">
        <v>0</v>
      </c>
      <c r="V20" s="43"/>
      <c r="W20" s="43"/>
      <c r="X20" s="42">
        <v>1</v>
      </c>
    </row>
    <row r="21" spans="1:24" s="10" customFormat="1" x14ac:dyDescent="0.25">
      <c r="A21" s="4" t="s">
        <v>36</v>
      </c>
      <c r="B21" s="52">
        <f t="shared" si="0"/>
        <v>6</v>
      </c>
      <c r="C21" s="42">
        <v>1</v>
      </c>
      <c r="D21" s="42">
        <v>1</v>
      </c>
      <c r="E21" s="42">
        <v>1</v>
      </c>
      <c r="F21" s="42">
        <v>1</v>
      </c>
      <c r="G21" s="42">
        <v>1</v>
      </c>
      <c r="H21" s="42">
        <v>1</v>
      </c>
      <c r="I21" s="9">
        <f t="shared" si="1"/>
        <v>3</v>
      </c>
      <c r="J21" s="42">
        <v>1</v>
      </c>
      <c r="K21" s="42">
        <v>1</v>
      </c>
      <c r="L21" s="42">
        <v>1</v>
      </c>
      <c r="M21" s="9">
        <f t="shared" si="2"/>
        <v>6</v>
      </c>
      <c r="N21" s="59">
        <v>1</v>
      </c>
      <c r="O21" s="60">
        <v>0</v>
      </c>
      <c r="P21" s="60">
        <v>1</v>
      </c>
      <c r="Q21" s="60">
        <v>1</v>
      </c>
      <c r="R21" s="60">
        <v>1</v>
      </c>
      <c r="S21" s="60">
        <v>1</v>
      </c>
      <c r="T21" s="60">
        <v>1</v>
      </c>
      <c r="U21" s="61">
        <v>0</v>
      </c>
      <c r="V21" s="43"/>
      <c r="W21" s="43">
        <v>1</v>
      </c>
      <c r="X21" s="42"/>
    </row>
    <row r="22" spans="1:24" s="3" customFormat="1" x14ac:dyDescent="0.25">
      <c r="A22" s="4" t="s">
        <v>53</v>
      </c>
      <c r="B22" s="52">
        <f t="shared" si="0"/>
        <v>5</v>
      </c>
      <c r="C22" s="42">
        <v>1</v>
      </c>
      <c r="D22" s="42">
        <v>1</v>
      </c>
      <c r="E22" s="42">
        <v>1</v>
      </c>
      <c r="F22" s="42">
        <v>0</v>
      </c>
      <c r="G22" s="42">
        <v>1</v>
      </c>
      <c r="H22" s="42">
        <v>1</v>
      </c>
      <c r="I22" s="9">
        <f t="shared" si="1"/>
        <v>3</v>
      </c>
      <c r="J22" s="42">
        <v>1</v>
      </c>
      <c r="K22" s="42">
        <v>1</v>
      </c>
      <c r="L22" s="42">
        <v>1</v>
      </c>
      <c r="M22" s="9">
        <f t="shared" si="2"/>
        <v>7</v>
      </c>
      <c r="N22" s="59">
        <v>1</v>
      </c>
      <c r="O22" s="60">
        <v>1</v>
      </c>
      <c r="P22" s="60">
        <v>1</v>
      </c>
      <c r="Q22" s="60">
        <v>1</v>
      </c>
      <c r="R22" s="60">
        <v>1</v>
      </c>
      <c r="S22" s="60">
        <v>1</v>
      </c>
      <c r="T22" s="60">
        <v>1</v>
      </c>
      <c r="U22" s="61">
        <v>0</v>
      </c>
      <c r="V22" s="43"/>
      <c r="W22" s="43"/>
      <c r="X22" s="42">
        <v>1</v>
      </c>
    </row>
    <row r="23" spans="1:24" s="3" customFormat="1" x14ac:dyDescent="0.25">
      <c r="A23" s="4" t="s">
        <v>37</v>
      </c>
      <c r="B23" s="52">
        <f>C23+D23+E23+F23+G23+H23</f>
        <v>5</v>
      </c>
      <c r="C23" s="42">
        <v>1</v>
      </c>
      <c r="D23" s="42">
        <v>1</v>
      </c>
      <c r="E23" s="42">
        <v>1</v>
      </c>
      <c r="F23" s="42">
        <v>0</v>
      </c>
      <c r="G23" s="42">
        <v>1</v>
      </c>
      <c r="H23" s="42">
        <v>1</v>
      </c>
      <c r="I23" s="9">
        <f t="shared" si="1"/>
        <v>2</v>
      </c>
      <c r="J23" s="42">
        <v>0</v>
      </c>
      <c r="K23" s="42">
        <v>1</v>
      </c>
      <c r="L23" s="42">
        <v>1</v>
      </c>
      <c r="M23" s="9">
        <f t="shared" si="2"/>
        <v>6</v>
      </c>
      <c r="N23" s="59">
        <v>1</v>
      </c>
      <c r="O23" s="60">
        <v>1</v>
      </c>
      <c r="P23" s="60">
        <v>1</v>
      </c>
      <c r="Q23" s="60">
        <v>1</v>
      </c>
      <c r="R23" s="60">
        <v>1</v>
      </c>
      <c r="S23" s="60">
        <v>1</v>
      </c>
      <c r="T23" s="60">
        <v>0</v>
      </c>
      <c r="U23" s="61">
        <v>0</v>
      </c>
      <c r="V23" s="43"/>
      <c r="W23" s="43"/>
      <c r="X23" s="42">
        <v>1</v>
      </c>
    </row>
    <row r="24" spans="1:24" s="3" customFormat="1" x14ac:dyDescent="0.25">
      <c r="A24" s="4" t="s">
        <v>38</v>
      </c>
      <c r="B24" s="52">
        <f t="shared" si="0"/>
        <v>6</v>
      </c>
      <c r="C24" s="42">
        <v>1</v>
      </c>
      <c r="D24" s="42">
        <v>1</v>
      </c>
      <c r="E24" s="42">
        <v>1</v>
      </c>
      <c r="F24" s="42">
        <v>1</v>
      </c>
      <c r="G24" s="42">
        <v>1</v>
      </c>
      <c r="H24" s="42">
        <v>1</v>
      </c>
      <c r="I24" s="9">
        <f t="shared" si="1"/>
        <v>3</v>
      </c>
      <c r="J24" s="42">
        <v>1</v>
      </c>
      <c r="K24" s="42">
        <v>1</v>
      </c>
      <c r="L24" s="42">
        <v>1</v>
      </c>
      <c r="M24" s="9">
        <f t="shared" si="2"/>
        <v>6</v>
      </c>
      <c r="N24" s="59">
        <v>1</v>
      </c>
      <c r="O24" s="60">
        <v>0</v>
      </c>
      <c r="P24" s="60">
        <v>1</v>
      </c>
      <c r="Q24" s="60">
        <v>1</v>
      </c>
      <c r="R24" s="60">
        <v>1</v>
      </c>
      <c r="S24" s="60">
        <v>1</v>
      </c>
      <c r="T24" s="60">
        <v>1</v>
      </c>
      <c r="U24" s="61">
        <v>0</v>
      </c>
      <c r="V24" s="43"/>
      <c r="W24" s="43">
        <v>1</v>
      </c>
      <c r="X24" s="42"/>
    </row>
    <row r="25" spans="1:24" s="3" customFormat="1" x14ac:dyDescent="0.25">
      <c r="A25" s="4" t="s">
        <v>39</v>
      </c>
      <c r="B25" s="52">
        <f t="shared" si="0"/>
        <v>5</v>
      </c>
      <c r="C25" s="42">
        <v>1</v>
      </c>
      <c r="D25" s="42">
        <v>1</v>
      </c>
      <c r="E25" s="42">
        <v>1</v>
      </c>
      <c r="F25" s="42">
        <v>0</v>
      </c>
      <c r="G25" s="42">
        <v>1</v>
      </c>
      <c r="H25" s="42">
        <v>1</v>
      </c>
      <c r="I25" s="9">
        <f t="shared" si="1"/>
        <v>3</v>
      </c>
      <c r="J25" s="42">
        <v>1</v>
      </c>
      <c r="K25" s="42">
        <v>1</v>
      </c>
      <c r="L25" s="42">
        <v>1</v>
      </c>
      <c r="M25" s="9">
        <f t="shared" si="2"/>
        <v>7</v>
      </c>
      <c r="N25" s="59">
        <v>1</v>
      </c>
      <c r="O25" s="60">
        <v>1</v>
      </c>
      <c r="P25" s="60">
        <v>1</v>
      </c>
      <c r="Q25" s="60">
        <v>1</v>
      </c>
      <c r="R25" s="60">
        <v>1</v>
      </c>
      <c r="S25" s="60">
        <v>1</v>
      </c>
      <c r="T25" s="60">
        <v>1</v>
      </c>
      <c r="U25" s="61">
        <v>0</v>
      </c>
      <c r="V25" s="43"/>
      <c r="W25" s="43"/>
      <c r="X25" s="42">
        <v>1</v>
      </c>
    </row>
    <row r="26" spans="1:24" s="3" customFormat="1" x14ac:dyDescent="0.25">
      <c r="A26" s="4" t="s">
        <v>40</v>
      </c>
      <c r="B26" s="52">
        <f t="shared" si="0"/>
        <v>6</v>
      </c>
      <c r="C26" s="42">
        <v>1</v>
      </c>
      <c r="D26" s="42">
        <v>1</v>
      </c>
      <c r="E26" s="42">
        <v>1</v>
      </c>
      <c r="F26" s="42">
        <v>1</v>
      </c>
      <c r="G26" s="42">
        <v>1</v>
      </c>
      <c r="H26" s="42">
        <v>1</v>
      </c>
      <c r="I26" s="9">
        <f t="shared" si="1"/>
        <v>3</v>
      </c>
      <c r="J26" s="42">
        <v>1</v>
      </c>
      <c r="K26" s="42">
        <v>1</v>
      </c>
      <c r="L26" s="42">
        <v>1</v>
      </c>
      <c r="M26" s="9">
        <f t="shared" si="2"/>
        <v>7</v>
      </c>
      <c r="N26" s="59">
        <v>1</v>
      </c>
      <c r="O26" s="60">
        <v>1</v>
      </c>
      <c r="P26" s="59">
        <v>1</v>
      </c>
      <c r="Q26" s="59">
        <v>1</v>
      </c>
      <c r="R26" s="59">
        <v>1</v>
      </c>
      <c r="S26" s="59">
        <v>1</v>
      </c>
      <c r="T26" s="60">
        <v>1</v>
      </c>
      <c r="U26" s="61">
        <v>0</v>
      </c>
      <c r="V26" s="43"/>
      <c r="W26" s="43">
        <v>1</v>
      </c>
      <c r="X26" s="42"/>
    </row>
    <row r="27" spans="1:24" ht="11.25" customHeight="1" x14ac:dyDescent="0.25"/>
    <row r="28" spans="1:24" x14ac:dyDescent="0.25">
      <c r="A28" t="s">
        <v>54</v>
      </c>
    </row>
    <row r="29" spans="1:24" x14ac:dyDescent="0.25">
      <c r="A29" t="s">
        <v>55</v>
      </c>
    </row>
  </sheetData>
  <mergeCells count="2">
    <mergeCell ref="V2:X2"/>
    <mergeCell ref="A1:X1"/>
  </mergeCells>
  <pageMargins left="0.17" right="0.16" top="0.74803149606299213" bottom="0.74803149606299213" header="0.31496062992125984" footer="0.31496062992125984"/>
  <pageSetup paperSize="9" scale="2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C4" sqref="C4:C26"/>
    </sheetView>
  </sheetViews>
  <sheetFormatPr defaultRowHeight="15" x14ac:dyDescent="0.25"/>
  <cols>
    <col min="1" max="1" width="22" customWidth="1"/>
    <col min="2" max="2" width="17.7109375" customWidth="1"/>
    <col min="3" max="3" width="13.7109375" customWidth="1"/>
  </cols>
  <sheetData>
    <row r="2" spans="1:3" x14ac:dyDescent="0.25">
      <c r="C2" t="s">
        <v>71</v>
      </c>
    </row>
    <row r="3" spans="1:3" s="15" customFormat="1" ht="101.25" customHeight="1" x14ac:dyDescent="0.25">
      <c r="A3" s="16" t="s">
        <v>63</v>
      </c>
      <c r="B3" s="30" t="s">
        <v>4</v>
      </c>
      <c r="C3" s="20" t="s">
        <v>110</v>
      </c>
    </row>
    <row r="4" spans="1:3" x14ac:dyDescent="0.25">
      <c r="A4" s="12" t="s">
        <v>41</v>
      </c>
      <c r="B4" s="13" t="s">
        <v>112</v>
      </c>
      <c r="C4" s="27">
        <v>1</v>
      </c>
    </row>
    <row r="5" spans="1:3" x14ac:dyDescent="0.25">
      <c r="A5" s="14" t="s">
        <v>42</v>
      </c>
      <c r="B5" s="13" t="s">
        <v>112</v>
      </c>
      <c r="C5" s="27">
        <v>1</v>
      </c>
    </row>
    <row r="6" spans="1:3" x14ac:dyDescent="0.25">
      <c r="A6" s="14" t="s">
        <v>43</v>
      </c>
      <c r="B6" s="13" t="s">
        <v>112</v>
      </c>
      <c r="C6" s="27">
        <v>1</v>
      </c>
    </row>
    <row r="7" spans="1:3" x14ac:dyDescent="0.25">
      <c r="A7" s="14" t="s">
        <v>22</v>
      </c>
      <c r="B7" s="13" t="s">
        <v>112</v>
      </c>
      <c r="C7" s="27">
        <v>1</v>
      </c>
    </row>
    <row r="8" spans="1:3" x14ac:dyDescent="0.25">
      <c r="A8" s="14" t="s">
        <v>23</v>
      </c>
      <c r="B8" s="13" t="s">
        <v>112</v>
      </c>
      <c r="C8" s="27">
        <v>1</v>
      </c>
    </row>
    <row r="9" spans="1:3" ht="17.25" customHeight="1" x14ac:dyDescent="0.25">
      <c r="A9" s="14" t="s">
        <v>24</v>
      </c>
      <c r="B9" s="13" t="s">
        <v>112</v>
      </c>
      <c r="C9" s="27">
        <v>1</v>
      </c>
    </row>
    <row r="10" spans="1:3" ht="17.25" customHeight="1" x14ac:dyDescent="0.25">
      <c r="A10" s="14" t="s">
        <v>25</v>
      </c>
      <c r="B10" s="13" t="s">
        <v>112</v>
      </c>
      <c r="C10" s="27">
        <v>1</v>
      </c>
    </row>
    <row r="11" spans="1:3" x14ac:dyDescent="0.25">
      <c r="A11" s="14" t="s">
        <v>26</v>
      </c>
      <c r="B11" s="13" t="s">
        <v>112</v>
      </c>
      <c r="C11" s="27">
        <v>1</v>
      </c>
    </row>
    <row r="12" spans="1:3" x14ac:dyDescent="0.25">
      <c r="A12" s="14" t="s">
        <v>27</v>
      </c>
      <c r="B12" s="13" t="s">
        <v>112</v>
      </c>
      <c r="C12" s="27">
        <v>1</v>
      </c>
    </row>
    <row r="13" spans="1:3" x14ac:dyDescent="0.25">
      <c r="A13" s="14" t="s">
        <v>28</v>
      </c>
      <c r="B13" s="13" t="s">
        <v>112</v>
      </c>
      <c r="C13" s="27">
        <v>1</v>
      </c>
    </row>
    <row r="14" spans="1:3" x14ac:dyDescent="0.25">
      <c r="A14" s="14" t="s">
        <v>29</v>
      </c>
      <c r="B14" s="13" t="s">
        <v>112</v>
      </c>
      <c r="C14" s="27">
        <v>1</v>
      </c>
    </row>
    <row r="15" spans="1:3" x14ac:dyDescent="0.25">
      <c r="A15" s="14" t="s">
        <v>30</v>
      </c>
      <c r="B15" s="13" t="s">
        <v>112</v>
      </c>
      <c r="C15" s="27">
        <v>1</v>
      </c>
    </row>
    <row r="16" spans="1:3" x14ac:dyDescent="0.25">
      <c r="A16" s="19" t="s">
        <v>31</v>
      </c>
      <c r="B16" s="13" t="s">
        <v>112</v>
      </c>
      <c r="C16" s="27">
        <v>1</v>
      </c>
    </row>
    <row r="17" spans="1:3" x14ac:dyDescent="0.25">
      <c r="A17" s="19" t="s">
        <v>32</v>
      </c>
      <c r="B17" s="13" t="s">
        <v>112</v>
      </c>
      <c r="C17" s="27">
        <v>1</v>
      </c>
    </row>
    <row r="18" spans="1:3" x14ac:dyDescent="0.25">
      <c r="A18" s="19" t="s">
        <v>33</v>
      </c>
      <c r="B18" s="13" t="s">
        <v>112</v>
      </c>
      <c r="C18" s="27">
        <v>1</v>
      </c>
    </row>
    <row r="19" spans="1:3" x14ac:dyDescent="0.25">
      <c r="A19" s="19" t="s">
        <v>34</v>
      </c>
      <c r="B19" s="13" t="s">
        <v>112</v>
      </c>
      <c r="C19" s="27">
        <v>1</v>
      </c>
    </row>
    <row r="20" spans="1:3" x14ac:dyDescent="0.25">
      <c r="A20" s="19" t="s">
        <v>35</v>
      </c>
      <c r="B20" s="13" t="s">
        <v>112</v>
      </c>
      <c r="C20" s="27">
        <v>1</v>
      </c>
    </row>
    <row r="21" spans="1:3" ht="12.75" customHeight="1" x14ac:dyDescent="0.25">
      <c r="A21" s="19" t="s">
        <v>36</v>
      </c>
      <c r="B21" s="13" t="s">
        <v>112</v>
      </c>
      <c r="C21" s="27">
        <v>1</v>
      </c>
    </row>
    <row r="22" spans="1:3" x14ac:dyDescent="0.25">
      <c r="A22" s="19" t="s">
        <v>53</v>
      </c>
      <c r="B22" s="13" t="s">
        <v>112</v>
      </c>
      <c r="C22" s="27">
        <v>1</v>
      </c>
    </row>
    <row r="23" spans="1:3" ht="15" customHeight="1" x14ac:dyDescent="0.25">
      <c r="A23" s="19" t="s">
        <v>37</v>
      </c>
      <c r="B23" s="13" t="s">
        <v>112</v>
      </c>
      <c r="C23" s="27">
        <v>1</v>
      </c>
    </row>
    <row r="24" spans="1:3" x14ac:dyDescent="0.25">
      <c r="A24" s="19" t="s">
        <v>38</v>
      </c>
      <c r="B24" s="13" t="s">
        <v>112</v>
      </c>
      <c r="C24" s="27">
        <v>1</v>
      </c>
    </row>
    <row r="25" spans="1:3" x14ac:dyDescent="0.25">
      <c r="A25" s="19" t="s">
        <v>39</v>
      </c>
      <c r="B25" s="13" t="s">
        <v>112</v>
      </c>
      <c r="C25" s="27">
        <v>1</v>
      </c>
    </row>
    <row r="26" spans="1:3" x14ac:dyDescent="0.25">
      <c r="A26" s="19" t="s">
        <v>40</v>
      </c>
      <c r="B26" s="13" t="s">
        <v>112</v>
      </c>
      <c r="C26" s="27">
        <v>1</v>
      </c>
    </row>
    <row r="27" spans="1:3" x14ac:dyDescent="0.25">
      <c r="C27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workbookViewId="0">
      <selection activeCell="D28" sqref="D28"/>
    </sheetView>
  </sheetViews>
  <sheetFormatPr defaultRowHeight="15" x14ac:dyDescent="0.25"/>
  <cols>
    <col min="1" max="1" width="22" customWidth="1"/>
    <col min="2" max="4" width="11" customWidth="1"/>
    <col min="5" max="5" width="18.140625" customWidth="1"/>
    <col min="6" max="6" width="10" customWidth="1"/>
  </cols>
  <sheetData>
    <row r="2" spans="1:5" x14ac:dyDescent="0.25">
      <c r="E2" t="s">
        <v>71</v>
      </c>
    </row>
    <row r="3" spans="1:5" s="15" customFormat="1" ht="63" customHeight="1" x14ac:dyDescent="0.25">
      <c r="A3" s="16" t="s">
        <v>63</v>
      </c>
      <c r="B3" s="20" t="s">
        <v>107</v>
      </c>
      <c r="C3" s="17" t="s">
        <v>65</v>
      </c>
      <c r="D3" s="17" t="s">
        <v>66</v>
      </c>
      <c r="E3" s="20" t="s">
        <v>108</v>
      </c>
    </row>
    <row r="4" spans="1:5" x14ac:dyDescent="0.25">
      <c r="A4" s="12" t="s">
        <v>41</v>
      </c>
      <c r="B4" s="29">
        <f>(C4/D4)</f>
        <v>0</v>
      </c>
      <c r="C4" s="26">
        <v>0</v>
      </c>
      <c r="D4" s="41">
        <v>228821.31815000001</v>
      </c>
      <c r="E4" s="27">
        <v>1</v>
      </c>
    </row>
    <row r="5" spans="1:5" x14ac:dyDescent="0.25">
      <c r="A5" s="14" t="s">
        <v>42</v>
      </c>
      <c r="B5" s="29">
        <f t="shared" ref="B5:B26" si="0">(C5/D5)</f>
        <v>0</v>
      </c>
      <c r="C5" s="26">
        <v>0</v>
      </c>
      <c r="D5" s="40">
        <v>200077.3793</v>
      </c>
      <c r="E5" s="27">
        <v>1</v>
      </c>
    </row>
    <row r="6" spans="1:5" x14ac:dyDescent="0.25">
      <c r="A6" s="14" t="s">
        <v>43</v>
      </c>
      <c r="B6" s="29">
        <f t="shared" si="0"/>
        <v>0</v>
      </c>
      <c r="C6" s="26">
        <v>0</v>
      </c>
      <c r="D6" s="40">
        <v>149960.84437999999</v>
      </c>
      <c r="E6" s="27">
        <v>1</v>
      </c>
    </row>
    <row r="7" spans="1:5" x14ac:dyDescent="0.25">
      <c r="A7" s="14" t="s">
        <v>22</v>
      </c>
      <c r="B7" s="29">
        <f t="shared" si="0"/>
        <v>0</v>
      </c>
      <c r="C7" s="26">
        <v>0</v>
      </c>
      <c r="D7" s="40">
        <v>24611.767660000001</v>
      </c>
      <c r="E7" s="27">
        <v>1</v>
      </c>
    </row>
    <row r="8" spans="1:5" x14ac:dyDescent="0.25">
      <c r="A8" s="14" t="s">
        <v>23</v>
      </c>
      <c r="B8" s="29">
        <f t="shared" si="0"/>
        <v>0</v>
      </c>
      <c r="C8" s="26">
        <v>0</v>
      </c>
      <c r="D8" s="40">
        <v>16047.078019999999</v>
      </c>
      <c r="E8" s="27">
        <v>1</v>
      </c>
    </row>
    <row r="9" spans="1:5" ht="17.25" customHeight="1" x14ac:dyDescent="0.25">
      <c r="A9" s="14" t="s">
        <v>24</v>
      </c>
      <c r="B9" s="29">
        <f t="shared" si="0"/>
        <v>0</v>
      </c>
      <c r="C9" s="26">
        <v>0</v>
      </c>
      <c r="D9" s="40">
        <v>13747.22193</v>
      </c>
      <c r="E9" s="27">
        <v>1</v>
      </c>
    </row>
    <row r="10" spans="1:5" ht="17.25" customHeight="1" x14ac:dyDescent="0.25">
      <c r="A10" s="14" t="s">
        <v>25</v>
      </c>
      <c r="B10" s="29">
        <f t="shared" si="0"/>
        <v>0</v>
      </c>
      <c r="C10" s="26">
        <v>0</v>
      </c>
      <c r="D10" s="41">
        <v>17752.260589999998</v>
      </c>
      <c r="E10" s="27">
        <v>1</v>
      </c>
    </row>
    <row r="11" spans="1:5" x14ac:dyDescent="0.25">
      <c r="A11" s="14" t="s">
        <v>26</v>
      </c>
      <c r="B11" s="29">
        <f t="shared" si="0"/>
        <v>0</v>
      </c>
      <c r="C11" s="26">
        <v>0</v>
      </c>
      <c r="D11" s="41">
        <v>14601.659109999999</v>
      </c>
      <c r="E11" s="27">
        <v>1</v>
      </c>
    </row>
    <row r="12" spans="1:5" x14ac:dyDescent="0.25">
      <c r="A12" s="14" t="s">
        <v>27</v>
      </c>
      <c r="B12" s="29">
        <f t="shared" si="0"/>
        <v>0</v>
      </c>
      <c r="C12" s="26">
        <v>0</v>
      </c>
      <c r="D12" s="41">
        <v>20080.754430000001</v>
      </c>
      <c r="E12" s="27">
        <v>1</v>
      </c>
    </row>
    <row r="13" spans="1:5" x14ac:dyDescent="0.25">
      <c r="A13" s="14" t="s">
        <v>28</v>
      </c>
      <c r="B13" s="29">
        <f t="shared" si="0"/>
        <v>0</v>
      </c>
      <c r="C13" s="26">
        <v>0</v>
      </c>
      <c r="D13" s="41">
        <v>19423.451920000003</v>
      </c>
      <c r="E13" s="27">
        <v>1</v>
      </c>
    </row>
    <row r="14" spans="1:5" x14ac:dyDescent="0.25">
      <c r="A14" s="14" t="s">
        <v>29</v>
      </c>
      <c r="B14" s="29">
        <f t="shared" si="0"/>
        <v>0</v>
      </c>
      <c r="C14" s="26">
        <v>0</v>
      </c>
      <c r="D14" s="41">
        <v>18135.128129999997</v>
      </c>
      <c r="E14" s="27">
        <v>1</v>
      </c>
    </row>
    <row r="15" spans="1:5" x14ac:dyDescent="0.25">
      <c r="A15" s="14" t="s">
        <v>30</v>
      </c>
      <c r="B15" s="29">
        <f t="shared" si="0"/>
        <v>0</v>
      </c>
      <c r="C15" s="26">
        <v>0</v>
      </c>
      <c r="D15" s="40">
        <v>12643.624159999999</v>
      </c>
      <c r="E15" s="27">
        <v>1</v>
      </c>
    </row>
    <row r="16" spans="1:5" x14ac:dyDescent="0.25">
      <c r="A16" s="19" t="s">
        <v>31</v>
      </c>
      <c r="B16" s="29">
        <f t="shared" si="0"/>
        <v>0</v>
      </c>
      <c r="C16" s="26">
        <v>0</v>
      </c>
      <c r="D16" s="40">
        <v>19542.441609999998</v>
      </c>
      <c r="E16" s="27">
        <v>1</v>
      </c>
    </row>
    <row r="17" spans="1:5" x14ac:dyDescent="0.25">
      <c r="A17" s="19" t="s">
        <v>32</v>
      </c>
      <c r="B17" s="29">
        <f t="shared" si="0"/>
        <v>0</v>
      </c>
      <c r="C17" s="26">
        <v>0</v>
      </c>
      <c r="D17" s="41">
        <v>18056.253760000003</v>
      </c>
      <c r="E17" s="27">
        <v>1</v>
      </c>
    </row>
    <row r="18" spans="1:5" x14ac:dyDescent="0.25">
      <c r="A18" s="19" t="s">
        <v>33</v>
      </c>
      <c r="B18" s="29">
        <f t="shared" si="0"/>
        <v>0</v>
      </c>
      <c r="C18" s="26">
        <v>0</v>
      </c>
      <c r="D18" s="40">
        <v>21229.93247</v>
      </c>
      <c r="E18" s="27">
        <v>1</v>
      </c>
    </row>
    <row r="19" spans="1:5" x14ac:dyDescent="0.25">
      <c r="A19" s="19" t="s">
        <v>34</v>
      </c>
      <c r="B19" s="29">
        <f t="shared" si="0"/>
        <v>0</v>
      </c>
      <c r="C19" s="26">
        <v>0</v>
      </c>
      <c r="D19" s="40">
        <v>12745.44837</v>
      </c>
      <c r="E19" s="27">
        <v>1</v>
      </c>
    </row>
    <row r="20" spans="1:5" x14ac:dyDescent="0.25">
      <c r="A20" s="19" t="s">
        <v>35</v>
      </c>
      <c r="B20" s="29">
        <f t="shared" si="0"/>
        <v>0</v>
      </c>
      <c r="C20" s="26">
        <v>0</v>
      </c>
      <c r="D20" s="40">
        <v>23059.577570000001</v>
      </c>
      <c r="E20" s="27">
        <v>1</v>
      </c>
    </row>
    <row r="21" spans="1:5" ht="12.75" customHeight="1" x14ac:dyDescent="0.25">
      <c r="A21" s="19" t="s">
        <v>36</v>
      </c>
      <c r="B21" s="29">
        <f t="shared" si="0"/>
        <v>0</v>
      </c>
      <c r="C21" s="26">
        <v>0</v>
      </c>
      <c r="D21" s="40">
        <v>10523.262419999999</v>
      </c>
      <c r="E21" s="27">
        <v>1</v>
      </c>
    </row>
    <row r="22" spans="1:5" x14ac:dyDescent="0.25">
      <c r="A22" s="19" t="s">
        <v>53</v>
      </c>
      <c r="B22" s="29">
        <f t="shared" si="0"/>
        <v>0</v>
      </c>
      <c r="C22" s="26">
        <v>0</v>
      </c>
      <c r="D22" s="40">
        <v>8041.9477000000006</v>
      </c>
      <c r="E22" s="27">
        <v>1</v>
      </c>
    </row>
    <row r="23" spans="1:5" ht="15" customHeight="1" x14ac:dyDescent="0.25">
      <c r="A23" s="19" t="s">
        <v>37</v>
      </c>
      <c r="B23" s="29">
        <f t="shared" si="0"/>
        <v>0</v>
      </c>
      <c r="C23" s="26">
        <v>0</v>
      </c>
      <c r="D23" s="40">
        <v>16548.54435</v>
      </c>
      <c r="E23" s="27">
        <v>1</v>
      </c>
    </row>
    <row r="24" spans="1:5" x14ac:dyDescent="0.25">
      <c r="A24" s="19" t="s">
        <v>38</v>
      </c>
      <c r="B24" s="29">
        <f t="shared" si="0"/>
        <v>0</v>
      </c>
      <c r="C24" s="26">
        <v>0</v>
      </c>
      <c r="D24" s="40">
        <v>6183.3702400000002</v>
      </c>
      <c r="E24" s="27">
        <v>1</v>
      </c>
    </row>
    <row r="25" spans="1:5" x14ac:dyDescent="0.25">
      <c r="A25" s="19" t="s">
        <v>39</v>
      </c>
      <c r="B25" s="29">
        <f t="shared" si="0"/>
        <v>0</v>
      </c>
      <c r="C25" s="26">
        <v>0</v>
      </c>
      <c r="D25" s="40">
        <v>6760.9780099999998</v>
      </c>
      <c r="E25" s="27">
        <v>1</v>
      </c>
    </row>
    <row r="26" spans="1:5" x14ac:dyDescent="0.25">
      <c r="A26" s="19" t="s">
        <v>40</v>
      </c>
      <c r="B26" s="29">
        <f t="shared" si="0"/>
        <v>0</v>
      </c>
      <c r="C26" s="26">
        <v>0</v>
      </c>
      <c r="D26" s="41">
        <v>7199.4867599999998</v>
      </c>
      <c r="E26" s="27">
        <v>1</v>
      </c>
    </row>
    <row r="27" spans="1:5" x14ac:dyDescent="0.25">
      <c r="A27" s="18" t="s">
        <v>101</v>
      </c>
      <c r="B27" s="18"/>
      <c r="C27" s="18"/>
      <c r="D27" s="56">
        <f>SUM(D4:D26)</f>
        <v>885793.73103999987</v>
      </c>
      <c r="E27" s="18"/>
    </row>
    <row r="28" spans="1:5" x14ac:dyDescent="0.25">
      <c r="B28" t="s">
        <v>65</v>
      </c>
      <c r="C28" t="s">
        <v>113</v>
      </c>
    </row>
    <row r="29" spans="1:5" x14ac:dyDescent="0.25">
      <c r="B29" t="s">
        <v>66</v>
      </c>
      <c r="C29" t="s">
        <v>109</v>
      </c>
    </row>
  </sheetData>
  <pageMargins left="0.7" right="0.7" top="0.75" bottom="0.75" header="0.3" footer="0.3"/>
  <pageSetup paperSize="9" scale="8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workbookViewId="0">
      <selection activeCell="B4" sqref="B4:C26"/>
    </sheetView>
  </sheetViews>
  <sheetFormatPr defaultRowHeight="15" x14ac:dyDescent="0.25"/>
  <cols>
    <col min="1" max="1" width="22" customWidth="1"/>
    <col min="2" max="2" width="17.7109375" customWidth="1"/>
    <col min="3" max="3" width="14.85546875" customWidth="1"/>
    <col min="4" max="4" width="9.7109375" customWidth="1"/>
  </cols>
  <sheetData>
    <row r="3" spans="1:3" s="15" customFormat="1" ht="101.25" customHeight="1" x14ac:dyDescent="0.25">
      <c r="A3" s="16" t="s">
        <v>63</v>
      </c>
      <c r="B3" s="30" t="s">
        <v>61</v>
      </c>
      <c r="C3" s="20" t="s">
        <v>110</v>
      </c>
    </row>
    <row r="4" spans="1:3" x14ac:dyDescent="0.25">
      <c r="A4" s="12" t="s">
        <v>41</v>
      </c>
      <c r="B4" s="57" t="s">
        <v>112</v>
      </c>
      <c r="C4" s="34">
        <v>0</v>
      </c>
    </row>
    <row r="5" spans="1:3" x14ac:dyDescent="0.25">
      <c r="A5" s="14" t="s">
        <v>42</v>
      </c>
      <c r="B5" s="57" t="s">
        <v>111</v>
      </c>
      <c r="C5" s="34">
        <v>1</v>
      </c>
    </row>
    <row r="6" spans="1:3" x14ac:dyDescent="0.25">
      <c r="A6" s="14" t="s">
        <v>43</v>
      </c>
      <c r="B6" s="57" t="s">
        <v>111</v>
      </c>
      <c r="C6" s="34">
        <v>1</v>
      </c>
    </row>
    <row r="7" spans="1:3" x14ac:dyDescent="0.25">
      <c r="A7" s="14" t="s">
        <v>22</v>
      </c>
      <c r="B7" s="57" t="s">
        <v>111</v>
      </c>
      <c r="C7" s="34">
        <v>1</v>
      </c>
    </row>
    <row r="8" spans="1:3" x14ac:dyDescent="0.25">
      <c r="A8" s="14" t="s">
        <v>23</v>
      </c>
      <c r="B8" s="57" t="s">
        <v>111</v>
      </c>
      <c r="C8" s="34">
        <v>1</v>
      </c>
    </row>
    <row r="9" spans="1:3" ht="17.25" customHeight="1" x14ac:dyDescent="0.25">
      <c r="A9" s="14" t="s">
        <v>24</v>
      </c>
      <c r="B9" s="57" t="s">
        <v>111</v>
      </c>
      <c r="C9" s="34">
        <v>1</v>
      </c>
    </row>
    <row r="10" spans="1:3" ht="17.25" customHeight="1" x14ac:dyDescent="0.25">
      <c r="A10" s="14" t="s">
        <v>25</v>
      </c>
      <c r="B10" s="57" t="s">
        <v>111</v>
      </c>
      <c r="C10" s="34">
        <v>1</v>
      </c>
    </row>
    <row r="11" spans="1:3" x14ac:dyDescent="0.25">
      <c r="A11" s="14" t="s">
        <v>26</v>
      </c>
      <c r="B11" s="57" t="s">
        <v>111</v>
      </c>
      <c r="C11" s="34">
        <v>1</v>
      </c>
    </row>
    <row r="12" spans="1:3" x14ac:dyDescent="0.25">
      <c r="A12" s="14" t="s">
        <v>27</v>
      </c>
      <c r="B12" s="57" t="s">
        <v>111</v>
      </c>
      <c r="C12" s="34">
        <v>1</v>
      </c>
    </row>
    <row r="13" spans="1:3" x14ac:dyDescent="0.25">
      <c r="A13" s="14" t="s">
        <v>28</v>
      </c>
      <c r="B13" s="57" t="s">
        <v>111</v>
      </c>
      <c r="C13" s="34">
        <v>1</v>
      </c>
    </row>
    <row r="14" spans="1:3" x14ac:dyDescent="0.25">
      <c r="A14" s="14" t="s">
        <v>29</v>
      </c>
      <c r="B14" s="57" t="s">
        <v>111</v>
      </c>
      <c r="C14" s="34">
        <v>1</v>
      </c>
    </row>
    <row r="15" spans="1:3" x14ac:dyDescent="0.25">
      <c r="A15" s="14" t="s">
        <v>30</v>
      </c>
      <c r="B15" s="57" t="s">
        <v>111</v>
      </c>
      <c r="C15" s="34">
        <v>1</v>
      </c>
    </row>
    <row r="16" spans="1:3" x14ac:dyDescent="0.25">
      <c r="A16" s="19" t="s">
        <v>31</v>
      </c>
      <c r="B16" s="57" t="s">
        <v>111</v>
      </c>
      <c r="C16" s="34">
        <v>1</v>
      </c>
    </row>
    <row r="17" spans="1:3" x14ac:dyDescent="0.25">
      <c r="A17" s="19" t="s">
        <v>32</v>
      </c>
      <c r="B17" s="57" t="s">
        <v>111</v>
      </c>
      <c r="C17" s="34">
        <v>1</v>
      </c>
    </row>
    <row r="18" spans="1:3" x14ac:dyDescent="0.25">
      <c r="A18" s="19" t="s">
        <v>33</v>
      </c>
      <c r="B18" s="57" t="s">
        <v>111</v>
      </c>
      <c r="C18" s="34">
        <v>1</v>
      </c>
    </row>
    <row r="19" spans="1:3" x14ac:dyDescent="0.25">
      <c r="A19" s="19" t="s">
        <v>34</v>
      </c>
      <c r="B19" s="57" t="s">
        <v>111</v>
      </c>
      <c r="C19" s="34">
        <v>1</v>
      </c>
    </row>
    <row r="20" spans="1:3" x14ac:dyDescent="0.25">
      <c r="A20" s="19" t="s">
        <v>35</v>
      </c>
      <c r="B20" s="57" t="s">
        <v>111</v>
      </c>
      <c r="C20" s="34">
        <v>1</v>
      </c>
    </row>
    <row r="21" spans="1:3" ht="12.75" customHeight="1" x14ac:dyDescent="0.25">
      <c r="A21" s="19" t="s">
        <v>36</v>
      </c>
      <c r="B21" s="57" t="s">
        <v>111</v>
      </c>
      <c r="C21" s="34">
        <v>1</v>
      </c>
    </row>
    <row r="22" spans="1:3" x14ac:dyDescent="0.25">
      <c r="A22" s="19" t="s">
        <v>53</v>
      </c>
      <c r="B22" s="57" t="s">
        <v>111</v>
      </c>
      <c r="C22" s="34">
        <v>1</v>
      </c>
    </row>
    <row r="23" spans="1:3" ht="15" customHeight="1" x14ac:dyDescent="0.25">
      <c r="A23" s="19" t="s">
        <v>37</v>
      </c>
      <c r="B23" s="57" t="s">
        <v>111</v>
      </c>
      <c r="C23" s="34">
        <v>1</v>
      </c>
    </row>
    <row r="24" spans="1:3" x14ac:dyDescent="0.25">
      <c r="A24" s="19" t="s">
        <v>38</v>
      </c>
      <c r="B24" s="57" t="s">
        <v>111</v>
      </c>
      <c r="C24" s="34">
        <v>1</v>
      </c>
    </row>
    <row r="25" spans="1:3" x14ac:dyDescent="0.25">
      <c r="A25" s="19" t="s">
        <v>39</v>
      </c>
      <c r="B25" s="57" t="s">
        <v>111</v>
      </c>
      <c r="C25" s="34">
        <v>1</v>
      </c>
    </row>
    <row r="26" spans="1:3" x14ac:dyDescent="0.25">
      <c r="A26" s="19" t="s">
        <v>40</v>
      </c>
      <c r="B26" s="57" t="s">
        <v>111</v>
      </c>
      <c r="C26" s="34">
        <v>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workbookViewId="0">
      <selection activeCell="K24" sqref="K24"/>
    </sheetView>
  </sheetViews>
  <sheetFormatPr defaultRowHeight="15" x14ac:dyDescent="0.25"/>
  <cols>
    <col min="1" max="1" width="22" customWidth="1"/>
    <col min="2" max="2" width="17.7109375" customWidth="1"/>
    <col min="3" max="3" width="14.85546875" customWidth="1"/>
    <col min="4" max="4" width="9.7109375" customWidth="1"/>
  </cols>
  <sheetData>
    <row r="3" spans="1:3" s="15" customFormat="1" ht="112.5" x14ac:dyDescent="0.25">
      <c r="A3" s="16" t="s">
        <v>63</v>
      </c>
      <c r="B3" s="30" t="s">
        <v>115</v>
      </c>
      <c r="C3" s="20" t="s">
        <v>110</v>
      </c>
    </row>
    <row r="4" spans="1:3" x14ac:dyDescent="0.25">
      <c r="A4" s="12" t="s">
        <v>41</v>
      </c>
      <c r="B4" s="57" t="s">
        <v>112</v>
      </c>
      <c r="C4" s="34">
        <v>0</v>
      </c>
    </row>
    <row r="5" spans="1:3" x14ac:dyDescent="0.25">
      <c r="A5" s="14" t="s">
        <v>42</v>
      </c>
      <c r="B5" s="57" t="s">
        <v>111</v>
      </c>
      <c r="C5" s="34">
        <v>1</v>
      </c>
    </row>
    <row r="6" spans="1:3" x14ac:dyDescent="0.25">
      <c r="A6" s="14" t="s">
        <v>43</v>
      </c>
      <c r="B6" s="57" t="s">
        <v>111</v>
      </c>
      <c r="C6" s="34">
        <v>1</v>
      </c>
    </row>
    <row r="7" spans="1:3" x14ac:dyDescent="0.25">
      <c r="A7" s="14" t="s">
        <v>22</v>
      </c>
      <c r="B7" s="57" t="s">
        <v>111</v>
      </c>
      <c r="C7" s="34">
        <v>1</v>
      </c>
    </row>
    <row r="8" spans="1:3" x14ac:dyDescent="0.25">
      <c r="A8" s="14" t="s">
        <v>23</v>
      </c>
      <c r="B8" s="57" t="s">
        <v>111</v>
      </c>
      <c r="C8" s="34">
        <v>1</v>
      </c>
    </row>
    <row r="9" spans="1:3" ht="17.25" customHeight="1" x14ac:dyDescent="0.25">
      <c r="A9" s="14" t="s">
        <v>24</v>
      </c>
      <c r="B9" s="57" t="s">
        <v>111</v>
      </c>
      <c r="C9" s="34">
        <v>1</v>
      </c>
    </row>
    <row r="10" spans="1:3" ht="17.25" customHeight="1" x14ac:dyDescent="0.25">
      <c r="A10" s="14" t="s">
        <v>25</v>
      </c>
      <c r="B10" s="57" t="s">
        <v>111</v>
      </c>
      <c r="C10" s="34">
        <v>1</v>
      </c>
    </row>
    <row r="11" spans="1:3" x14ac:dyDescent="0.25">
      <c r="A11" s="14" t="s">
        <v>26</v>
      </c>
      <c r="B11" s="57" t="s">
        <v>111</v>
      </c>
      <c r="C11" s="34">
        <v>1</v>
      </c>
    </row>
    <row r="12" spans="1:3" x14ac:dyDescent="0.25">
      <c r="A12" s="14" t="s">
        <v>27</v>
      </c>
      <c r="B12" s="57" t="s">
        <v>111</v>
      </c>
      <c r="C12" s="34">
        <v>1</v>
      </c>
    </row>
    <row r="13" spans="1:3" x14ac:dyDescent="0.25">
      <c r="A13" s="14" t="s">
        <v>28</v>
      </c>
      <c r="B13" s="57" t="s">
        <v>111</v>
      </c>
      <c r="C13" s="34">
        <v>1</v>
      </c>
    </row>
    <row r="14" spans="1:3" x14ac:dyDescent="0.25">
      <c r="A14" s="14" t="s">
        <v>29</v>
      </c>
      <c r="B14" s="57" t="s">
        <v>111</v>
      </c>
      <c r="C14" s="34">
        <v>1</v>
      </c>
    </row>
    <row r="15" spans="1:3" x14ac:dyDescent="0.25">
      <c r="A15" s="14" t="s">
        <v>30</v>
      </c>
      <c r="B15" s="57" t="s">
        <v>111</v>
      </c>
      <c r="C15" s="34">
        <v>1</v>
      </c>
    </row>
    <row r="16" spans="1:3" x14ac:dyDescent="0.25">
      <c r="A16" s="19" t="s">
        <v>31</v>
      </c>
      <c r="B16" s="57" t="s">
        <v>111</v>
      </c>
      <c r="C16" s="34">
        <v>1</v>
      </c>
    </row>
    <row r="17" spans="1:3" x14ac:dyDescent="0.25">
      <c r="A17" s="19" t="s">
        <v>32</v>
      </c>
      <c r="B17" s="57" t="s">
        <v>111</v>
      </c>
      <c r="C17" s="34">
        <v>1</v>
      </c>
    </row>
    <row r="18" spans="1:3" x14ac:dyDescent="0.25">
      <c r="A18" s="19" t="s">
        <v>33</v>
      </c>
      <c r="B18" s="57" t="s">
        <v>111</v>
      </c>
      <c r="C18" s="34">
        <v>1</v>
      </c>
    </row>
    <row r="19" spans="1:3" x14ac:dyDescent="0.25">
      <c r="A19" s="19" t="s">
        <v>34</v>
      </c>
      <c r="B19" s="57" t="s">
        <v>111</v>
      </c>
      <c r="C19" s="34">
        <v>1</v>
      </c>
    </row>
    <row r="20" spans="1:3" x14ac:dyDescent="0.25">
      <c r="A20" s="19" t="s">
        <v>35</v>
      </c>
      <c r="B20" s="57" t="s">
        <v>111</v>
      </c>
      <c r="C20" s="34">
        <v>1</v>
      </c>
    </row>
    <row r="21" spans="1:3" ht="12.75" customHeight="1" x14ac:dyDescent="0.25">
      <c r="A21" s="19" t="s">
        <v>36</v>
      </c>
      <c r="B21" s="57" t="s">
        <v>111</v>
      </c>
      <c r="C21" s="34">
        <v>1</v>
      </c>
    </row>
    <row r="22" spans="1:3" x14ac:dyDescent="0.25">
      <c r="A22" s="19" t="s">
        <v>53</v>
      </c>
      <c r="B22" s="57" t="s">
        <v>111</v>
      </c>
      <c r="C22" s="34">
        <v>1</v>
      </c>
    </row>
    <row r="23" spans="1:3" ht="15" customHeight="1" x14ac:dyDescent="0.25">
      <c r="A23" s="19" t="s">
        <v>37</v>
      </c>
      <c r="B23" s="57" t="s">
        <v>111</v>
      </c>
      <c r="C23" s="34">
        <v>1</v>
      </c>
    </row>
    <row r="24" spans="1:3" x14ac:dyDescent="0.25">
      <c r="A24" s="19" t="s">
        <v>38</v>
      </c>
      <c r="B24" s="57" t="s">
        <v>111</v>
      </c>
      <c r="C24" s="34">
        <v>1</v>
      </c>
    </row>
    <row r="25" spans="1:3" x14ac:dyDescent="0.25">
      <c r="A25" s="19" t="s">
        <v>39</v>
      </c>
      <c r="B25" s="57" t="s">
        <v>111</v>
      </c>
      <c r="C25" s="34">
        <v>1</v>
      </c>
    </row>
    <row r="26" spans="1:3" x14ac:dyDescent="0.25">
      <c r="A26" s="19" t="s">
        <v>40</v>
      </c>
      <c r="B26" s="57" t="s">
        <v>111</v>
      </c>
      <c r="C26" s="34">
        <v>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7"/>
  <sheetViews>
    <sheetView workbookViewId="0">
      <selection activeCell="E5" sqref="E5:E27"/>
    </sheetView>
  </sheetViews>
  <sheetFormatPr defaultRowHeight="15" x14ac:dyDescent="0.25"/>
  <cols>
    <col min="1" max="1" width="21.42578125" customWidth="1"/>
    <col min="2" max="2" width="10.5703125" customWidth="1"/>
    <col min="3" max="3" width="11.42578125" customWidth="1"/>
    <col min="4" max="4" width="11.85546875" customWidth="1"/>
    <col min="5" max="5" width="13" customWidth="1"/>
    <col min="6" max="6" width="10.5703125" customWidth="1"/>
    <col min="7" max="7" width="11.7109375" customWidth="1"/>
    <col min="8" max="8" width="11" customWidth="1"/>
  </cols>
  <sheetData>
    <row r="2" spans="1:5" x14ac:dyDescent="0.25">
      <c r="E2" s="22" t="s">
        <v>71</v>
      </c>
    </row>
    <row r="3" spans="1:5" s="15" customFormat="1" ht="47.25" customHeight="1" x14ac:dyDescent="0.25">
      <c r="A3" s="67" t="s">
        <v>63</v>
      </c>
      <c r="B3" s="69" t="s">
        <v>62</v>
      </c>
      <c r="C3" s="70"/>
      <c r="D3" s="71"/>
      <c r="E3" s="67" t="s">
        <v>110</v>
      </c>
    </row>
    <row r="4" spans="1:5" s="15" customFormat="1" ht="19.5" customHeight="1" x14ac:dyDescent="0.25">
      <c r="A4" s="68"/>
      <c r="B4" s="30" t="s">
        <v>12</v>
      </c>
      <c r="C4" s="30" t="s">
        <v>11</v>
      </c>
      <c r="D4" s="30" t="s">
        <v>10</v>
      </c>
      <c r="E4" s="68"/>
    </row>
    <row r="5" spans="1:5" x14ac:dyDescent="0.25">
      <c r="A5" s="12" t="s">
        <v>41</v>
      </c>
      <c r="B5" s="57" t="s">
        <v>112</v>
      </c>
      <c r="C5" s="57" t="s">
        <v>112</v>
      </c>
      <c r="D5" s="57" t="s">
        <v>112</v>
      </c>
      <c r="E5" s="34">
        <v>0</v>
      </c>
    </row>
    <row r="6" spans="1:5" x14ac:dyDescent="0.25">
      <c r="A6" s="14" t="s">
        <v>42</v>
      </c>
      <c r="B6" s="57" t="s">
        <v>111</v>
      </c>
      <c r="C6" s="57" t="s">
        <v>111</v>
      </c>
      <c r="D6" s="57" t="s">
        <v>111</v>
      </c>
      <c r="E6" s="34">
        <v>1</v>
      </c>
    </row>
    <row r="7" spans="1:5" x14ac:dyDescent="0.25">
      <c r="A7" s="14" t="s">
        <v>43</v>
      </c>
      <c r="B7" s="57" t="s">
        <v>111</v>
      </c>
      <c r="C7" s="57" t="s">
        <v>111</v>
      </c>
      <c r="D7" s="57" t="s">
        <v>111</v>
      </c>
      <c r="E7" s="34">
        <v>1</v>
      </c>
    </row>
    <row r="8" spans="1:5" x14ac:dyDescent="0.25">
      <c r="A8" s="14" t="s">
        <v>22</v>
      </c>
      <c r="B8" s="57" t="s">
        <v>111</v>
      </c>
      <c r="C8" s="57" t="s">
        <v>111</v>
      </c>
      <c r="D8" s="57" t="s">
        <v>111</v>
      </c>
      <c r="E8" s="34">
        <v>1</v>
      </c>
    </row>
    <row r="9" spans="1:5" x14ac:dyDescent="0.25">
      <c r="A9" s="14" t="s">
        <v>23</v>
      </c>
      <c r="B9" s="57" t="s">
        <v>111</v>
      </c>
      <c r="C9" s="57" t="s">
        <v>111</v>
      </c>
      <c r="D9" s="57" t="s">
        <v>111</v>
      </c>
      <c r="E9" s="34">
        <v>1</v>
      </c>
    </row>
    <row r="10" spans="1:5" ht="17.25" customHeight="1" x14ac:dyDescent="0.25">
      <c r="A10" s="14" t="s">
        <v>24</v>
      </c>
      <c r="B10" s="57" t="s">
        <v>111</v>
      </c>
      <c r="C10" s="57" t="s">
        <v>111</v>
      </c>
      <c r="D10" s="57" t="s">
        <v>111</v>
      </c>
      <c r="E10" s="34">
        <v>1</v>
      </c>
    </row>
    <row r="11" spans="1:5" ht="17.25" customHeight="1" x14ac:dyDescent="0.25">
      <c r="A11" s="14" t="s">
        <v>25</v>
      </c>
      <c r="B11" s="57" t="s">
        <v>111</v>
      </c>
      <c r="C11" s="57" t="s">
        <v>111</v>
      </c>
      <c r="D11" s="57" t="s">
        <v>111</v>
      </c>
      <c r="E11" s="34">
        <v>1</v>
      </c>
    </row>
    <row r="12" spans="1:5" x14ac:dyDescent="0.25">
      <c r="A12" s="14" t="s">
        <v>26</v>
      </c>
      <c r="B12" s="57" t="s">
        <v>111</v>
      </c>
      <c r="C12" s="57" t="s">
        <v>111</v>
      </c>
      <c r="D12" s="57" t="s">
        <v>111</v>
      </c>
      <c r="E12" s="34">
        <v>1</v>
      </c>
    </row>
    <row r="13" spans="1:5" x14ac:dyDescent="0.25">
      <c r="A13" s="14" t="s">
        <v>27</v>
      </c>
      <c r="B13" s="57" t="s">
        <v>111</v>
      </c>
      <c r="C13" s="57" t="s">
        <v>111</v>
      </c>
      <c r="D13" s="57" t="s">
        <v>111</v>
      </c>
      <c r="E13" s="34">
        <v>1</v>
      </c>
    </row>
    <row r="14" spans="1:5" x14ac:dyDescent="0.25">
      <c r="A14" s="14" t="s">
        <v>28</v>
      </c>
      <c r="B14" s="57" t="s">
        <v>111</v>
      </c>
      <c r="C14" s="57" t="s">
        <v>111</v>
      </c>
      <c r="D14" s="57" t="s">
        <v>111</v>
      </c>
      <c r="E14" s="34">
        <v>1</v>
      </c>
    </row>
    <row r="15" spans="1:5" x14ac:dyDescent="0.25">
      <c r="A15" s="14" t="s">
        <v>29</v>
      </c>
      <c r="B15" s="57" t="s">
        <v>111</v>
      </c>
      <c r="C15" s="57" t="s">
        <v>111</v>
      </c>
      <c r="D15" s="57" t="s">
        <v>111</v>
      </c>
      <c r="E15" s="34">
        <v>1</v>
      </c>
    </row>
    <row r="16" spans="1:5" x14ac:dyDescent="0.25">
      <c r="A16" s="14" t="s">
        <v>30</v>
      </c>
      <c r="B16" s="57" t="s">
        <v>111</v>
      </c>
      <c r="C16" s="57" t="s">
        <v>111</v>
      </c>
      <c r="D16" s="57" t="s">
        <v>111</v>
      </c>
      <c r="E16" s="34">
        <v>1</v>
      </c>
    </row>
    <row r="17" spans="1:5" x14ac:dyDescent="0.25">
      <c r="A17" s="19" t="s">
        <v>31</v>
      </c>
      <c r="B17" s="57" t="s">
        <v>111</v>
      </c>
      <c r="C17" s="57" t="s">
        <v>111</v>
      </c>
      <c r="D17" s="57" t="s">
        <v>111</v>
      </c>
      <c r="E17" s="34">
        <v>1</v>
      </c>
    </row>
    <row r="18" spans="1:5" x14ac:dyDescent="0.25">
      <c r="A18" s="19" t="s">
        <v>32</v>
      </c>
      <c r="B18" s="57" t="s">
        <v>111</v>
      </c>
      <c r="C18" s="57" t="s">
        <v>111</v>
      </c>
      <c r="D18" s="57" t="s">
        <v>111</v>
      </c>
      <c r="E18" s="34">
        <v>1</v>
      </c>
    </row>
    <row r="19" spans="1:5" x14ac:dyDescent="0.25">
      <c r="A19" s="19" t="s">
        <v>33</v>
      </c>
      <c r="B19" s="57" t="s">
        <v>111</v>
      </c>
      <c r="C19" s="57" t="s">
        <v>111</v>
      </c>
      <c r="D19" s="57" t="s">
        <v>111</v>
      </c>
      <c r="E19" s="34">
        <v>1</v>
      </c>
    </row>
    <row r="20" spans="1:5" x14ac:dyDescent="0.25">
      <c r="A20" s="19" t="s">
        <v>34</v>
      </c>
      <c r="B20" s="57" t="s">
        <v>111</v>
      </c>
      <c r="C20" s="57" t="s">
        <v>111</v>
      </c>
      <c r="D20" s="57" t="s">
        <v>111</v>
      </c>
      <c r="E20" s="34">
        <v>1</v>
      </c>
    </row>
    <row r="21" spans="1:5" x14ac:dyDescent="0.25">
      <c r="A21" s="19" t="s">
        <v>35</v>
      </c>
      <c r="B21" s="57" t="s">
        <v>111</v>
      </c>
      <c r="C21" s="57" t="s">
        <v>111</v>
      </c>
      <c r="D21" s="57" t="s">
        <v>111</v>
      </c>
      <c r="E21" s="34">
        <v>1</v>
      </c>
    </row>
    <row r="22" spans="1:5" ht="12.75" customHeight="1" x14ac:dyDescent="0.25">
      <c r="A22" s="19" t="s">
        <v>36</v>
      </c>
      <c r="B22" s="57" t="s">
        <v>111</v>
      </c>
      <c r="C22" s="57" t="s">
        <v>111</v>
      </c>
      <c r="D22" s="57" t="s">
        <v>111</v>
      </c>
      <c r="E22" s="34">
        <v>1</v>
      </c>
    </row>
    <row r="23" spans="1:5" x14ac:dyDescent="0.25">
      <c r="A23" s="19" t="s">
        <v>53</v>
      </c>
      <c r="B23" s="57" t="s">
        <v>111</v>
      </c>
      <c r="C23" s="57" t="s">
        <v>111</v>
      </c>
      <c r="D23" s="57" t="s">
        <v>111</v>
      </c>
      <c r="E23" s="34">
        <v>1</v>
      </c>
    </row>
    <row r="24" spans="1:5" ht="15" customHeight="1" x14ac:dyDescent="0.25">
      <c r="A24" s="19" t="s">
        <v>37</v>
      </c>
      <c r="B24" s="57" t="s">
        <v>112</v>
      </c>
      <c r="C24" s="57" t="s">
        <v>111</v>
      </c>
      <c r="D24" s="57" t="s">
        <v>111</v>
      </c>
      <c r="E24" s="34">
        <v>0</v>
      </c>
    </row>
    <row r="25" spans="1:5" x14ac:dyDescent="0.25">
      <c r="A25" s="19" t="s">
        <v>38</v>
      </c>
      <c r="B25" s="57" t="s">
        <v>111</v>
      </c>
      <c r="C25" s="57" t="s">
        <v>111</v>
      </c>
      <c r="D25" s="57" t="s">
        <v>111</v>
      </c>
      <c r="E25" s="34">
        <v>1</v>
      </c>
    </row>
    <row r="26" spans="1:5" x14ac:dyDescent="0.25">
      <c r="A26" s="19" t="s">
        <v>39</v>
      </c>
      <c r="B26" s="57" t="s">
        <v>111</v>
      </c>
      <c r="C26" s="57" t="s">
        <v>111</v>
      </c>
      <c r="D26" s="57" t="s">
        <v>111</v>
      </c>
      <c r="E26" s="34">
        <v>1</v>
      </c>
    </row>
    <row r="27" spans="1:5" x14ac:dyDescent="0.25">
      <c r="A27" s="19" t="s">
        <v>40</v>
      </c>
      <c r="B27" s="57" t="s">
        <v>111</v>
      </c>
      <c r="C27" s="57" t="s">
        <v>111</v>
      </c>
      <c r="D27" s="57" t="s">
        <v>111</v>
      </c>
      <c r="E27" s="34">
        <v>1</v>
      </c>
    </row>
  </sheetData>
  <mergeCells count="3">
    <mergeCell ref="A3:A4"/>
    <mergeCell ref="E3:E4"/>
    <mergeCell ref="B3:D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4" sqref="C4:C26"/>
    </sheetView>
  </sheetViews>
  <sheetFormatPr defaultRowHeight="15" x14ac:dyDescent="0.25"/>
  <cols>
    <col min="1" max="1" width="22" customWidth="1"/>
    <col min="2" max="2" width="17.7109375" customWidth="1"/>
    <col min="3" max="3" width="14.85546875" customWidth="1"/>
    <col min="4" max="4" width="9.7109375" customWidth="1"/>
  </cols>
  <sheetData>
    <row r="3" spans="1:3" s="15" customFormat="1" ht="112.5" x14ac:dyDescent="0.25">
      <c r="A3" s="16" t="s">
        <v>63</v>
      </c>
      <c r="B3" s="30" t="s">
        <v>116</v>
      </c>
      <c r="C3" s="20" t="s">
        <v>110</v>
      </c>
    </row>
    <row r="4" spans="1:3" x14ac:dyDescent="0.25">
      <c r="A4" s="12" t="s">
        <v>41</v>
      </c>
      <c r="B4" s="57" t="s">
        <v>112</v>
      </c>
      <c r="C4" s="34">
        <v>0</v>
      </c>
    </row>
    <row r="5" spans="1:3" x14ac:dyDescent="0.25">
      <c r="A5" s="14" t="s">
        <v>42</v>
      </c>
      <c r="B5" s="57" t="s">
        <v>112</v>
      </c>
      <c r="C5" s="34">
        <v>0</v>
      </c>
    </row>
    <row r="6" spans="1:3" x14ac:dyDescent="0.25">
      <c r="A6" s="14" t="s">
        <v>43</v>
      </c>
      <c r="B6" s="57" t="s">
        <v>111</v>
      </c>
      <c r="C6" s="34">
        <v>1</v>
      </c>
    </row>
    <row r="7" spans="1:3" x14ac:dyDescent="0.25">
      <c r="A7" s="14" t="s">
        <v>22</v>
      </c>
      <c r="B7" s="57" t="s">
        <v>112</v>
      </c>
      <c r="C7" s="34">
        <v>0</v>
      </c>
    </row>
    <row r="8" spans="1:3" x14ac:dyDescent="0.25">
      <c r="A8" s="14" t="s">
        <v>23</v>
      </c>
      <c r="B8" s="57" t="s">
        <v>112</v>
      </c>
      <c r="C8" s="34">
        <v>0</v>
      </c>
    </row>
    <row r="9" spans="1:3" ht="17.25" customHeight="1" x14ac:dyDescent="0.25">
      <c r="A9" s="14" t="s">
        <v>24</v>
      </c>
      <c r="B9" s="57" t="s">
        <v>112</v>
      </c>
      <c r="C9" s="34">
        <v>0</v>
      </c>
    </row>
    <row r="10" spans="1:3" ht="17.25" customHeight="1" x14ac:dyDescent="0.25">
      <c r="A10" s="14" t="s">
        <v>25</v>
      </c>
      <c r="B10" s="57" t="s">
        <v>112</v>
      </c>
      <c r="C10" s="34">
        <v>0</v>
      </c>
    </row>
    <row r="11" spans="1:3" x14ac:dyDescent="0.25">
      <c r="A11" s="14" t="s">
        <v>26</v>
      </c>
      <c r="B11" s="57" t="s">
        <v>112</v>
      </c>
      <c r="C11" s="34">
        <v>0</v>
      </c>
    </row>
    <row r="12" spans="1:3" x14ac:dyDescent="0.25">
      <c r="A12" s="14" t="s">
        <v>27</v>
      </c>
      <c r="B12" s="57" t="s">
        <v>112</v>
      </c>
      <c r="C12" s="34">
        <v>0</v>
      </c>
    </row>
    <row r="13" spans="1:3" x14ac:dyDescent="0.25">
      <c r="A13" s="14" t="s">
        <v>28</v>
      </c>
      <c r="B13" s="57" t="s">
        <v>112</v>
      </c>
      <c r="C13" s="34">
        <v>0</v>
      </c>
    </row>
    <row r="14" spans="1:3" x14ac:dyDescent="0.25">
      <c r="A14" s="14" t="s">
        <v>29</v>
      </c>
      <c r="B14" s="57" t="s">
        <v>112</v>
      </c>
      <c r="C14" s="34">
        <v>0</v>
      </c>
    </row>
    <row r="15" spans="1:3" x14ac:dyDescent="0.25">
      <c r="A15" s="14" t="s">
        <v>30</v>
      </c>
      <c r="B15" s="57" t="s">
        <v>112</v>
      </c>
      <c r="C15" s="34">
        <v>0</v>
      </c>
    </row>
    <row r="16" spans="1:3" x14ac:dyDescent="0.25">
      <c r="A16" s="19" t="s">
        <v>31</v>
      </c>
      <c r="B16" s="57" t="s">
        <v>112</v>
      </c>
      <c r="C16" s="34">
        <v>0</v>
      </c>
    </row>
    <row r="17" spans="1:3" x14ac:dyDescent="0.25">
      <c r="A17" s="19" t="s">
        <v>32</v>
      </c>
      <c r="B17" s="57" t="s">
        <v>112</v>
      </c>
      <c r="C17" s="34">
        <v>0</v>
      </c>
    </row>
    <row r="18" spans="1:3" x14ac:dyDescent="0.25">
      <c r="A18" s="19" t="s">
        <v>33</v>
      </c>
      <c r="B18" s="57" t="s">
        <v>112</v>
      </c>
      <c r="C18" s="34">
        <v>0</v>
      </c>
    </row>
    <row r="19" spans="1:3" x14ac:dyDescent="0.25">
      <c r="A19" s="19" t="s">
        <v>34</v>
      </c>
      <c r="B19" s="57" t="s">
        <v>112</v>
      </c>
      <c r="C19" s="34">
        <v>0</v>
      </c>
    </row>
    <row r="20" spans="1:3" x14ac:dyDescent="0.25">
      <c r="A20" s="19" t="s">
        <v>35</v>
      </c>
      <c r="B20" s="57" t="s">
        <v>112</v>
      </c>
      <c r="C20" s="34">
        <v>0</v>
      </c>
    </row>
    <row r="21" spans="1:3" ht="12.75" customHeight="1" x14ac:dyDescent="0.25">
      <c r="A21" s="19" t="s">
        <v>36</v>
      </c>
      <c r="B21" s="57" t="s">
        <v>112</v>
      </c>
      <c r="C21" s="34">
        <v>0</v>
      </c>
    </row>
    <row r="22" spans="1:3" x14ac:dyDescent="0.25">
      <c r="A22" s="19" t="s">
        <v>53</v>
      </c>
      <c r="B22" s="57" t="s">
        <v>112</v>
      </c>
      <c r="C22" s="34">
        <v>0</v>
      </c>
    </row>
    <row r="23" spans="1:3" ht="15" customHeight="1" x14ac:dyDescent="0.25">
      <c r="A23" s="19" t="s">
        <v>37</v>
      </c>
      <c r="B23" s="57" t="s">
        <v>112</v>
      </c>
      <c r="C23" s="34">
        <v>0</v>
      </c>
    </row>
    <row r="24" spans="1:3" x14ac:dyDescent="0.25">
      <c r="A24" s="19" t="s">
        <v>38</v>
      </c>
      <c r="B24" s="57" t="s">
        <v>112</v>
      </c>
      <c r="C24" s="34">
        <v>0</v>
      </c>
    </row>
    <row r="25" spans="1:3" x14ac:dyDescent="0.25">
      <c r="A25" s="19" t="s">
        <v>39</v>
      </c>
      <c r="B25" s="57" t="s">
        <v>112</v>
      </c>
      <c r="C25" s="34">
        <v>0</v>
      </c>
    </row>
    <row r="26" spans="1:3" x14ac:dyDescent="0.25">
      <c r="A26" s="19" t="s">
        <v>40</v>
      </c>
      <c r="B26" s="57" t="s">
        <v>112</v>
      </c>
      <c r="C26" s="34">
        <v>0</v>
      </c>
    </row>
    <row r="29" spans="1:3" ht="51.75" x14ac:dyDescent="0.25">
      <c r="A29" s="58" t="s">
        <v>120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0"/>
  <sheetViews>
    <sheetView workbookViewId="0">
      <selection activeCell="D26" sqref="D26"/>
    </sheetView>
  </sheetViews>
  <sheetFormatPr defaultRowHeight="15" x14ac:dyDescent="0.25"/>
  <cols>
    <col min="1" max="1" width="22" customWidth="1"/>
    <col min="2" max="2" width="13.5703125" customWidth="1"/>
    <col min="6" max="6" width="16.85546875" customWidth="1"/>
    <col min="7" max="7" width="9.7109375" customWidth="1"/>
  </cols>
  <sheetData>
    <row r="2" spans="1:8" x14ac:dyDescent="0.25">
      <c r="F2" t="s">
        <v>71</v>
      </c>
    </row>
    <row r="3" spans="1:8" s="15" customFormat="1" ht="48" customHeight="1" x14ac:dyDescent="0.25">
      <c r="A3" s="16" t="s">
        <v>63</v>
      </c>
      <c r="B3" s="17" t="s">
        <v>64</v>
      </c>
      <c r="C3" s="17" t="s">
        <v>65</v>
      </c>
      <c r="D3" s="17" t="s">
        <v>66</v>
      </c>
      <c r="E3" s="17" t="s">
        <v>67</v>
      </c>
      <c r="F3" s="20" t="s">
        <v>76</v>
      </c>
    </row>
    <row r="4" spans="1:8" x14ac:dyDescent="0.25">
      <c r="A4" s="12" t="s">
        <v>41</v>
      </c>
      <c r="B4" s="34">
        <f>C4/(D4+E4)</f>
        <v>0</v>
      </c>
      <c r="C4" s="34">
        <v>0</v>
      </c>
      <c r="D4" s="48">
        <v>2939.87</v>
      </c>
      <c r="E4" s="34">
        <v>0</v>
      </c>
      <c r="F4" s="24">
        <v>1</v>
      </c>
      <c r="G4" s="32"/>
      <c r="H4" s="33"/>
    </row>
    <row r="5" spans="1:8" x14ac:dyDescent="0.25">
      <c r="A5" s="14" t="s">
        <v>42</v>
      </c>
      <c r="B5" s="34">
        <f>C5/(D5+E5)</f>
        <v>0</v>
      </c>
      <c r="C5" s="34">
        <v>0</v>
      </c>
      <c r="D5" s="48">
        <v>2285.462</v>
      </c>
      <c r="E5" s="34">
        <v>0</v>
      </c>
      <c r="F5" s="23">
        <v>1</v>
      </c>
    </row>
    <row r="6" spans="1:8" x14ac:dyDescent="0.25">
      <c r="A6" s="14" t="s">
        <v>43</v>
      </c>
      <c r="B6" s="34">
        <f t="shared" ref="B6:B26" si="0">C6/(D6+E6)</f>
        <v>0</v>
      </c>
      <c r="C6" s="34">
        <v>0</v>
      </c>
      <c r="D6" s="48">
        <v>4494.7640000000001</v>
      </c>
      <c r="E6" s="34">
        <v>0</v>
      </c>
      <c r="F6" s="23">
        <v>1</v>
      </c>
    </row>
    <row r="7" spans="1:8" x14ac:dyDescent="0.25">
      <c r="A7" s="14" t="s">
        <v>22</v>
      </c>
      <c r="B7" s="34">
        <f t="shared" si="0"/>
        <v>0</v>
      </c>
      <c r="C7" s="34">
        <v>0</v>
      </c>
      <c r="D7" s="48">
        <v>507.78199999999998</v>
      </c>
      <c r="E7" s="34">
        <v>0</v>
      </c>
      <c r="F7" s="23">
        <v>1</v>
      </c>
    </row>
    <row r="8" spans="1:8" x14ac:dyDescent="0.25">
      <c r="A8" s="14" t="s">
        <v>23</v>
      </c>
      <c r="B8" s="34">
        <f t="shared" si="0"/>
        <v>0</v>
      </c>
      <c r="C8" s="34">
        <v>0</v>
      </c>
      <c r="D8" s="48">
        <v>401.428</v>
      </c>
      <c r="E8" s="34">
        <v>0</v>
      </c>
      <c r="F8" s="23">
        <v>1</v>
      </c>
    </row>
    <row r="9" spans="1:8" ht="17.25" customHeight="1" x14ac:dyDescent="0.25">
      <c r="A9" s="14" t="s">
        <v>24</v>
      </c>
      <c r="B9" s="34">
        <f t="shared" si="0"/>
        <v>0</v>
      </c>
      <c r="C9" s="34">
        <v>0</v>
      </c>
      <c r="D9" s="48">
        <v>251.113</v>
      </c>
      <c r="E9" s="34">
        <v>0</v>
      </c>
      <c r="F9" s="23">
        <v>1</v>
      </c>
    </row>
    <row r="10" spans="1:8" ht="17.25" customHeight="1" x14ac:dyDescent="0.25">
      <c r="A10" s="14" t="s">
        <v>25</v>
      </c>
      <c r="B10" s="34">
        <f t="shared" si="0"/>
        <v>0</v>
      </c>
      <c r="C10" s="34">
        <v>0</v>
      </c>
      <c r="D10" s="48">
        <v>434.71</v>
      </c>
      <c r="E10" s="34">
        <v>0</v>
      </c>
      <c r="F10" s="23">
        <v>1</v>
      </c>
    </row>
    <row r="11" spans="1:8" x14ac:dyDescent="0.25">
      <c r="A11" s="14" t="s">
        <v>26</v>
      </c>
      <c r="B11" s="34">
        <f t="shared" si="0"/>
        <v>0</v>
      </c>
      <c r="C11" s="34">
        <v>0</v>
      </c>
      <c r="D11" s="48">
        <v>426.81700000000001</v>
      </c>
      <c r="E11" s="34">
        <v>0</v>
      </c>
      <c r="F11" s="23">
        <v>1</v>
      </c>
    </row>
    <row r="12" spans="1:8" x14ac:dyDescent="0.25">
      <c r="A12" s="14" t="s">
        <v>27</v>
      </c>
      <c r="B12" s="34">
        <f t="shared" si="0"/>
        <v>0</v>
      </c>
      <c r="C12" s="34">
        <v>0</v>
      </c>
      <c r="D12" s="48">
        <v>403.92399999999998</v>
      </c>
      <c r="E12" s="34">
        <v>0</v>
      </c>
      <c r="F12" s="23">
        <v>1</v>
      </c>
    </row>
    <row r="13" spans="1:8" x14ac:dyDescent="0.25">
      <c r="A13" s="14" t="s">
        <v>28</v>
      </c>
      <c r="B13" s="34">
        <f t="shared" si="0"/>
        <v>0</v>
      </c>
      <c r="C13" s="34">
        <v>0</v>
      </c>
      <c r="D13" s="48">
        <v>434.75200000000001</v>
      </c>
      <c r="E13" s="34">
        <v>0</v>
      </c>
      <c r="F13" s="23">
        <v>1</v>
      </c>
    </row>
    <row r="14" spans="1:8" x14ac:dyDescent="0.25">
      <c r="A14" s="14" t="s">
        <v>29</v>
      </c>
      <c r="B14" s="34">
        <f t="shared" si="0"/>
        <v>0</v>
      </c>
      <c r="C14" s="34">
        <v>0</v>
      </c>
      <c r="D14" s="48">
        <v>494.11399999999998</v>
      </c>
      <c r="E14" s="34">
        <v>0</v>
      </c>
      <c r="F14" s="23">
        <v>1</v>
      </c>
    </row>
    <row r="15" spans="1:8" x14ac:dyDescent="0.25">
      <c r="A15" s="14" t="s">
        <v>30</v>
      </c>
      <c r="B15" s="34">
        <f t="shared" si="0"/>
        <v>0</v>
      </c>
      <c r="C15" s="34">
        <v>0</v>
      </c>
      <c r="D15" s="48">
        <v>409.09</v>
      </c>
      <c r="E15" s="34">
        <v>0</v>
      </c>
      <c r="F15" s="23">
        <v>1</v>
      </c>
    </row>
    <row r="16" spans="1:8" x14ac:dyDescent="0.25">
      <c r="A16" s="19" t="s">
        <v>31</v>
      </c>
      <c r="B16" s="34">
        <f t="shared" si="0"/>
        <v>0</v>
      </c>
      <c r="C16" s="34">
        <v>0</v>
      </c>
      <c r="D16" s="48">
        <v>485.27800000000002</v>
      </c>
      <c r="E16" s="34">
        <v>0</v>
      </c>
      <c r="F16" s="23">
        <v>1</v>
      </c>
    </row>
    <row r="17" spans="1:6" x14ac:dyDescent="0.25">
      <c r="A17" s="19" t="s">
        <v>32</v>
      </c>
      <c r="B17" s="34">
        <f t="shared" si="0"/>
        <v>0</v>
      </c>
      <c r="C17" s="34">
        <v>0</v>
      </c>
      <c r="D17" s="48">
        <v>223.33</v>
      </c>
      <c r="E17" s="34">
        <v>0</v>
      </c>
      <c r="F17" s="23">
        <v>1</v>
      </c>
    </row>
    <row r="18" spans="1:6" x14ac:dyDescent="0.25">
      <c r="A18" s="19" t="s">
        <v>33</v>
      </c>
      <c r="B18" s="34">
        <v>0</v>
      </c>
      <c r="C18" s="34">
        <v>0</v>
      </c>
      <c r="D18" s="48">
        <v>1335.027</v>
      </c>
      <c r="E18" s="34">
        <v>0</v>
      </c>
      <c r="F18" s="23">
        <v>1</v>
      </c>
    </row>
    <row r="19" spans="1:6" x14ac:dyDescent="0.25">
      <c r="A19" s="19" t="s">
        <v>34</v>
      </c>
      <c r="B19" s="34">
        <f t="shared" si="0"/>
        <v>0</v>
      </c>
      <c r="C19" s="34">
        <v>0</v>
      </c>
      <c r="D19" s="48">
        <v>343.86099999999999</v>
      </c>
      <c r="E19" s="34">
        <v>0</v>
      </c>
      <c r="F19" s="23">
        <v>1</v>
      </c>
    </row>
    <row r="20" spans="1:6" x14ac:dyDescent="0.25">
      <c r="A20" s="19" t="s">
        <v>35</v>
      </c>
      <c r="B20" s="34">
        <f t="shared" si="0"/>
        <v>0</v>
      </c>
      <c r="C20" s="34">
        <v>0</v>
      </c>
      <c r="D20" s="48">
        <v>124.22199999999999</v>
      </c>
      <c r="E20" s="34">
        <v>0</v>
      </c>
      <c r="F20" s="23">
        <v>1</v>
      </c>
    </row>
    <row r="21" spans="1:6" ht="12.75" customHeight="1" x14ac:dyDescent="0.25">
      <c r="A21" s="19" t="s">
        <v>36</v>
      </c>
      <c r="B21" s="34">
        <v>0</v>
      </c>
      <c r="C21" s="34">
        <v>0</v>
      </c>
      <c r="D21" s="48">
        <v>314.48700000000002</v>
      </c>
      <c r="E21" s="34">
        <v>0</v>
      </c>
      <c r="F21" s="23">
        <v>1</v>
      </c>
    </row>
    <row r="22" spans="1:6" x14ac:dyDescent="0.25">
      <c r="A22" s="19" t="s">
        <v>53</v>
      </c>
      <c r="B22" s="34">
        <f t="shared" si="0"/>
        <v>0</v>
      </c>
      <c r="C22" s="34">
        <v>0</v>
      </c>
      <c r="D22" s="48">
        <v>558.85199999999998</v>
      </c>
      <c r="E22" s="34">
        <v>0</v>
      </c>
      <c r="F22" s="23">
        <v>1</v>
      </c>
    </row>
    <row r="23" spans="1:6" ht="15" customHeight="1" x14ac:dyDescent="0.25">
      <c r="A23" s="19" t="s">
        <v>37</v>
      </c>
      <c r="B23" s="34">
        <f t="shared" si="0"/>
        <v>0</v>
      </c>
      <c r="C23" s="34">
        <v>0</v>
      </c>
      <c r="D23" s="48">
        <v>401.08800000000002</v>
      </c>
      <c r="E23" s="34">
        <v>0</v>
      </c>
      <c r="F23" s="23">
        <v>1</v>
      </c>
    </row>
    <row r="24" spans="1:6" x14ac:dyDescent="0.25">
      <c r="A24" s="19" t="s">
        <v>38</v>
      </c>
      <c r="B24" s="34">
        <f t="shared" si="0"/>
        <v>0</v>
      </c>
      <c r="C24" s="34">
        <v>0</v>
      </c>
      <c r="D24" s="48">
        <v>309.31900000000002</v>
      </c>
      <c r="E24" s="34">
        <v>0</v>
      </c>
      <c r="F24" s="23">
        <v>1</v>
      </c>
    </row>
    <row r="25" spans="1:6" x14ac:dyDescent="0.25">
      <c r="A25" s="19" t="s">
        <v>39</v>
      </c>
      <c r="B25" s="34">
        <f t="shared" si="0"/>
        <v>0</v>
      </c>
      <c r="C25" s="34">
        <v>0</v>
      </c>
      <c r="D25" s="48">
        <v>381.85</v>
      </c>
      <c r="E25" s="34">
        <v>0</v>
      </c>
      <c r="F25" s="23">
        <v>1</v>
      </c>
    </row>
    <row r="26" spans="1:6" x14ac:dyDescent="0.25">
      <c r="A26" s="19" t="s">
        <v>40</v>
      </c>
      <c r="B26" s="34">
        <f t="shared" si="0"/>
        <v>0</v>
      </c>
      <c r="C26" s="34">
        <v>0</v>
      </c>
      <c r="D26" s="48">
        <v>2248.8939999999998</v>
      </c>
      <c r="E26" s="34">
        <v>0</v>
      </c>
      <c r="F26" s="25">
        <v>1</v>
      </c>
    </row>
    <row r="28" spans="1:6" x14ac:dyDescent="0.25">
      <c r="A28" s="21" t="s">
        <v>65</v>
      </c>
      <c r="B28" t="s">
        <v>68</v>
      </c>
    </row>
    <row r="29" spans="1:6" x14ac:dyDescent="0.25">
      <c r="A29" s="21" t="s">
        <v>66</v>
      </c>
      <c r="B29" t="s">
        <v>69</v>
      </c>
    </row>
    <row r="30" spans="1:6" x14ac:dyDescent="0.25">
      <c r="A30" s="22" t="s">
        <v>67</v>
      </c>
      <c r="B30" t="s">
        <v>70</v>
      </c>
    </row>
  </sheetData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0"/>
  <sheetViews>
    <sheetView workbookViewId="0">
      <selection activeCell="L18" sqref="L18"/>
    </sheetView>
  </sheetViews>
  <sheetFormatPr defaultRowHeight="15" x14ac:dyDescent="0.25"/>
  <cols>
    <col min="1" max="1" width="22" customWidth="1"/>
    <col min="2" max="2" width="13.5703125" customWidth="1"/>
    <col min="4" max="4" width="9.5703125" customWidth="1"/>
    <col min="5" max="5" width="9.7109375" customWidth="1"/>
    <col min="6" max="6" width="16.85546875" customWidth="1"/>
  </cols>
  <sheetData>
    <row r="2" spans="1:6" x14ac:dyDescent="0.25">
      <c r="F2" t="s">
        <v>71</v>
      </c>
    </row>
    <row r="3" spans="1:6" s="15" customFormat="1" ht="46.5" customHeight="1" x14ac:dyDescent="0.25">
      <c r="A3" s="16" t="s">
        <v>63</v>
      </c>
      <c r="B3" s="17" t="s">
        <v>72</v>
      </c>
      <c r="C3" s="17" t="s">
        <v>65</v>
      </c>
      <c r="D3" s="17" t="s">
        <v>66</v>
      </c>
      <c r="E3" s="17" t="s">
        <v>67</v>
      </c>
      <c r="F3" s="20" t="s">
        <v>76</v>
      </c>
    </row>
    <row r="4" spans="1:6" x14ac:dyDescent="0.25">
      <c r="A4" s="12" t="s">
        <v>41</v>
      </c>
      <c r="B4" s="35">
        <f>C4/(D4-E4)</f>
        <v>0</v>
      </c>
      <c r="C4" s="35">
        <v>0</v>
      </c>
      <c r="D4" s="47">
        <f>245872588.59/1000</f>
        <v>245872.58859</v>
      </c>
      <c r="E4" s="47">
        <f>224603540.76/1000</f>
        <v>224603.54076</v>
      </c>
      <c r="F4" s="24">
        <v>1</v>
      </c>
    </row>
    <row r="5" spans="1:6" x14ac:dyDescent="0.25">
      <c r="A5" s="14" t="s">
        <v>42</v>
      </c>
      <c r="B5" s="35">
        <f>C5/(D5-E5)</f>
        <v>0</v>
      </c>
      <c r="C5" s="35">
        <v>0</v>
      </c>
      <c r="D5" s="47">
        <v>201712.99400000001</v>
      </c>
      <c r="E5" s="47">
        <v>172085.77</v>
      </c>
      <c r="F5" s="23">
        <v>1</v>
      </c>
    </row>
    <row r="6" spans="1:6" x14ac:dyDescent="0.25">
      <c r="A6" s="14" t="s">
        <v>43</v>
      </c>
      <c r="B6" s="35">
        <f t="shared" ref="B6:B26" si="0">C6/(D6-E6)</f>
        <v>0</v>
      </c>
      <c r="C6" s="35">
        <v>0</v>
      </c>
      <c r="D6" s="47">
        <f>158331173.29/1000</f>
        <v>158331.17329000001</v>
      </c>
      <c r="E6" s="47">
        <f>143590170/1000</f>
        <v>143590.17000000001</v>
      </c>
      <c r="F6" s="23">
        <v>1</v>
      </c>
    </row>
    <row r="7" spans="1:6" x14ac:dyDescent="0.25">
      <c r="A7" s="14" t="s">
        <v>22</v>
      </c>
      <c r="B7" s="35">
        <f t="shared" si="0"/>
        <v>0</v>
      </c>
      <c r="C7" s="35">
        <v>0</v>
      </c>
      <c r="D7" s="47">
        <f>24686369.38/1000</f>
        <v>24686.36938</v>
      </c>
      <c r="E7" s="47">
        <f>24121300/1000</f>
        <v>24121.3</v>
      </c>
      <c r="F7" s="23">
        <v>1</v>
      </c>
    </row>
    <row r="8" spans="1:6" x14ac:dyDescent="0.25">
      <c r="A8" s="14" t="s">
        <v>23</v>
      </c>
      <c r="B8" s="35">
        <f t="shared" si="0"/>
        <v>0</v>
      </c>
      <c r="C8" s="35">
        <v>0</v>
      </c>
      <c r="D8" s="47">
        <f>15772102/1000</f>
        <v>15772.102000000001</v>
      </c>
      <c r="E8" s="47">
        <f>15510100/1000</f>
        <v>15510.1</v>
      </c>
      <c r="F8" s="23">
        <v>1</v>
      </c>
    </row>
    <row r="9" spans="1:6" ht="17.25" customHeight="1" x14ac:dyDescent="0.25">
      <c r="A9" s="14" t="s">
        <v>24</v>
      </c>
      <c r="B9" s="35">
        <f t="shared" si="0"/>
        <v>0</v>
      </c>
      <c r="C9" s="35">
        <v>0</v>
      </c>
      <c r="D9" s="47">
        <v>13762.418</v>
      </c>
      <c r="E9" s="47">
        <f>13487.86</f>
        <v>13487.86</v>
      </c>
      <c r="F9" s="23">
        <v>1</v>
      </c>
    </row>
    <row r="10" spans="1:6" ht="17.25" customHeight="1" x14ac:dyDescent="0.25">
      <c r="A10" s="14" t="s">
        <v>25</v>
      </c>
      <c r="B10" s="35">
        <f t="shared" si="0"/>
        <v>0</v>
      </c>
      <c r="C10" s="35">
        <v>0</v>
      </c>
      <c r="D10" s="47">
        <v>17592.544999999998</v>
      </c>
      <c r="E10" s="47">
        <f>17257.869</f>
        <v>17257.868999999999</v>
      </c>
      <c r="F10" s="23">
        <v>1</v>
      </c>
    </row>
    <row r="11" spans="1:6" x14ac:dyDescent="0.25">
      <c r="A11" s="14" t="s">
        <v>26</v>
      </c>
      <c r="B11" s="35">
        <f t="shared" si="0"/>
        <v>0</v>
      </c>
      <c r="C11" s="35">
        <v>0</v>
      </c>
      <c r="D11" s="47">
        <f>14634970.36/1000</f>
        <v>14634.970359999999</v>
      </c>
      <c r="E11" s="47">
        <f>14419200/1000</f>
        <v>14419.2</v>
      </c>
      <c r="F11" s="23">
        <v>1</v>
      </c>
    </row>
    <row r="12" spans="1:6" x14ac:dyDescent="0.25">
      <c r="A12" s="14" t="s">
        <v>27</v>
      </c>
      <c r="B12" s="35">
        <f t="shared" si="0"/>
        <v>0</v>
      </c>
      <c r="C12" s="35">
        <v>0</v>
      </c>
      <c r="D12" s="47">
        <f>20490044.6/1000</f>
        <v>20490.044600000001</v>
      </c>
      <c r="E12" s="47">
        <f>20268230/1000</f>
        <v>20268.23</v>
      </c>
      <c r="F12" s="23">
        <v>1</v>
      </c>
    </row>
    <row r="13" spans="1:6" x14ac:dyDescent="0.25">
      <c r="A13" s="14" t="s">
        <v>28</v>
      </c>
      <c r="B13" s="35">
        <f t="shared" si="0"/>
        <v>0</v>
      </c>
      <c r="C13" s="35">
        <v>0</v>
      </c>
      <c r="D13" s="47">
        <f>19194369.53/1000</f>
        <v>19194.36953</v>
      </c>
      <c r="E13" s="47">
        <f>19080099.92/1000</f>
        <v>19080.099920000001</v>
      </c>
      <c r="F13" s="23">
        <v>1</v>
      </c>
    </row>
    <row r="14" spans="1:6" x14ac:dyDescent="0.25">
      <c r="A14" s="14" t="s">
        <v>29</v>
      </c>
      <c r="B14" s="35">
        <f t="shared" si="0"/>
        <v>0</v>
      </c>
      <c r="C14" s="35">
        <v>0</v>
      </c>
      <c r="D14" s="47">
        <f>17973560.54/1000</f>
        <v>17973.560539999999</v>
      </c>
      <c r="E14" s="47">
        <f>17657260/1000</f>
        <v>17657.259999999998</v>
      </c>
      <c r="F14" s="23">
        <v>1</v>
      </c>
    </row>
    <row r="15" spans="1:6" x14ac:dyDescent="0.25">
      <c r="A15" s="14" t="s">
        <v>30</v>
      </c>
      <c r="B15" s="35">
        <f t="shared" si="0"/>
        <v>0</v>
      </c>
      <c r="C15" s="35">
        <v>0</v>
      </c>
      <c r="D15" s="47">
        <v>12804.553</v>
      </c>
      <c r="E15" s="47">
        <v>12614.438</v>
      </c>
      <c r="F15" s="23">
        <v>1</v>
      </c>
    </row>
    <row r="16" spans="1:6" x14ac:dyDescent="0.25">
      <c r="A16" s="19" t="s">
        <v>31</v>
      </c>
      <c r="B16" s="35">
        <f t="shared" si="0"/>
        <v>0</v>
      </c>
      <c r="C16" s="35">
        <v>0</v>
      </c>
      <c r="D16" s="47">
        <f>20274439.11/1000</f>
        <v>20274.439109999999</v>
      </c>
      <c r="E16" s="47">
        <f>20004682/1000</f>
        <v>20004.682000000001</v>
      </c>
      <c r="F16" s="23">
        <v>1</v>
      </c>
    </row>
    <row r="17" spans="1:6" x14ac:dyDescent="0.25">
      <c r="A17" s="19" t="s">
        <v>32</v>
      </c>
      <c r="B17" s="35">
        <f t="shared" si="0"/>
        <v>0</v>
      </c>
      <c r="C17" s="35">
        <v>0</v>
      </c>
      <c r="D17" s="47">
        <f>18186031.8/1000</f>
        <v>18186.031800000001</v>
      </c>
      <c r="E17" s="47">
        <f>17695849/1000</f>
        <v>17695.848999999998</v>
      </c>
      <c r="F17" s="23">
        <v>1</v>
      </c>
    </row>
    <row r="18" spans="1:6" x14ac:dyDescent="0.25">
      <c r="A18" s="19" t="s">
        <v>33</v>
      </c>
      <c r="B18" s="35">
        <f t="shared" si="0"/>
        <v>0</v>
      </c>
      <c r="C18" s="35">
        <v>0</v>
      </c>
      <c r="D18" s="47">
        <f>22252397.6/1000</f>
        <v>22252.3976</v>
      </c>
      <c r="E18" s="47">
        <f>11278018/1000</f>
        <v>11278.018</v>
      </c>
      <c r="F18" s="23">
        <v>1</v>
      </c>
    </row>
    <row r="19" spans="1:6" x14ac:dyDescent="0.25">
      <c r="A19" s="19" t="s">
        <v>34</v>
      </c>
      <c r="B19" s="35">
        <f t="shared" si="0"/>
        <v>0</v>
      </c>
      <c r="C19" s="35">
        <v>0</v>
      </c>
      <c r="D19" s="47">
        <f>12867205.28/1000</f>
        <v>12867.20528</v>
      </c>
      <c r="E19" s="47">
        <f>12061270/1000</f>
        <v>12061.27</v>
      </c>
      <c r="F19" s="23">
        <v>1</v>
      </c>
    </row>
    <row r="20" spans="1:6" x14ac:dyDescent="0.25">
      <c r="A20" s="19" t="s">
        <v>35</v>
      </c>
      <c r="B20" s="35">
        <f t="shared" si="0"/>
        <v>0</v>
      </c>
      <c r="C20" s="35">
        <v>0</v>
      </c>
      <c r="D20" s="47">
        <f>23243624.18/1000</f>
        <v>23243.624179999999</v>
      </c>
      <c r="E20" s="47">
        <f>23050525/1000</f>
        <v>23050.525000000001</v>
      </c>
      <c r="F20" s="23">
        <v>1</v>
      </c>
    </row>
    <row r="21" spans="1:6" ht="12.75" customHeight="1" x14ac:dyDescent="0.25">
      <c r="A21" s="19" t="s">
        <v>36</v>
      </c>
      <c r="B21" s="35">
        <f t="shared" si="0"/>
        <v>0</v>
      </c>
      <c r="C21" s="35">
        <v>0</v>
      </c>
      <c r="D21" s="47">
        <f>10930318.93/1000</f>
        <v>10930.318929999999</v>
      </c>
      <c r="E21" s="47">
        <f>10708010/1000</f>
        <v>10708.01</v>
      </c>
      <c r="F21" s="23">
        <v>1</v>
      </c>
    </row>
    <row r="22" spans="1:6" x14ac:dyDescent="0.25">
      <c r="A22" s="19" t="s">
        <v>53</v>
      </c>
      <c r="B22" s="35">
        <f t="shared" si="0"/>
        <v>0</v>
      </c>
      <c r="C22" s="35">
        <v>0</v>
      </c>
      <c r="D22" s="47">
        <f>7777308.52/1000</f>
        <v>7777.3085199999996</v>
      </c>
      <c r="E22" s="47">
        <f>7410515/1000</f>
        <v>7410.5150000000003</v>
      </c>
      <c r="F22" s="23">
        <v>1</v>
      </c>
    </row>
    <row r="23" spans="1:6" ht="15" customHeight="1" x14ac:dyDescent="0.25">
      <c r="A23" s="19" t="s">
        <v>37</v>
      </c>
      <c r="B23" s="35">
        <f t="shared" si="0"/>
        <v>0</v>
      </c>
      <c r="C23" s="35">
        <v>0</v>
      </c>
      <c r="D23" s="47">
        <f>16430417/1000</f>
        <v>16430.417000000001</v>
      </c>
      <c r="E23" s="47">
        <f>16222941.99/1000</f>
        <v>16222.941989999999</v>
      </c>
      <c r="F23" s="23">
        <v>1</v>
      </c>
    </row>
    <row r="24" spans="1:6" x14ac:dyDescent="0.25">
      <c r="A24" s="19" t="s">
        <v>38</v>
      </c>
      <c r="B24" s="35">
        <f t="shared" si="0"/>
        <v>0</v>
      </c>
      <c r="C24" s="35">
        <v>0</v>
      </c>
      <c r="D24" s="47">
        <f>6174345.86/1000</f>
        <v>6174.3458600000004</v>
      </c>
      <c r="E24" s="47">
        <f>6040758/1000</f>
        <v>6040.7579999999998</v>
      </c>
      <c r="F24" s="23">
        <v>1</v>
      </c>
    </row>
    <row r="25" spans="1:6" x14ac:dyDescent="0.25">
      <c r="A25" s="19" t="s">
        <v>39</v>
      </c>
      <c r="B25" s="35">
        <f t="shared" si="0"/>
        <v>0</v>
      </c>
      <c r="C25" s="35">
        <v>0</v>
      </c>
      <c r="D25" s="47">
        <f>6700276.75/1000</f>
        <v>6700.27675</v>
      </c>
      <c r="E25" s="47">
        <f>6538808/1000</f>
        <v>6538.808</v>
      </c>
      <c r="F25" s="23">
        <v>1</v>
      </c>
    </row>
    <row r="26" spans="1:6" x14ac:dyDescent="0.25">
      <c r="A26" s="19" t="s">
        <v>40</v>
      </c>
      <c r="B26" s="35">
        <f t="shared" si="0"/>
        <v>0</v>
      </c>
      <c r="C26" s="35">
        <v>0</v>
      </c>
      <c r="D26" s="47">
        <f>7347792.07/1000</f>
        <v>7347.7920700000004</v>
      </c>
      <c r="E26" s="47">
        <f>6998461/1000</f>
        <v>6998.4610000000002</v>
      </c>
      <c r="F26" s="25">
        <v>1</v>
      </c>
    </row>
    <row r="28" spans="1:6" x14ac:dyDescent="0.25">
      <c r="A28" s="21" t="s">
        <v>65</v>
      </c>
      <c r="B28" t="s">
        <v>73</v>
      </c>
    </row>
    <row r="29" spans="1:6" x14ac:dyDescent="0.25">
      <c r="A29" s="21" t="s">
        <v>66</v>
      </c>
      <c r="B29" t="s">
        <v>74</v>
      </c>
    </row>
    <row r="30" spans="1:6" x14ac:dyDescent="0.25">
      <c r="A30" s="22" t="s">
        <v>67</v>
      </c>
      <c r="B30" t="s">
        <v>75</v>
      </c>
    </row>
  </sheetData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0"/>
  <sheetViews>
    <sheetView workbookViewId="0">
      <selection activeCell="E7" sqref="E7"/>
    </sheetView>
  </sheetViews>
  <sheetFormatPr defaultRowHeight="15" x14ac:dyDescent="0.25"/>
  <cols>
    <col min="1" max="1" width="22" customWidth="1"/>
    <col min="2" max="2" width="13.5703125" customWidth="1"/>
    <col min="6" max="6" width="16.85546875" customWidth="1"/>
  </cols>
  <sheetData>
    <row r="2" spans="1:6" x14ac:dyDescent="0.25">
      <c r="F2" t="s">
        <v>71</v>
      </c>
    </row>
    <row r="3" spans="1:6" s="15" customFormat="1" ht="46.5" customHeight="1" x14ac:dyDescent="0.25">
      <c r="A3" s="16" t="s">
        <v>63</v>
      </c>
      <c r="B3" s="17" t="s">
        <v>72</v>
      </c>
      <c r="C3" s="17" t="s">
        <v>65</v>
      </c>
      <c r="D3" s="17" t="s">
        <v>66</v>
      </c>
      <c r="E3" s="17" t="s">
        <v>67</v>
      </c>
      <c r="F3" s="20" t="s">
        <v>80</v>
      </c>
    </row>
    <row r="4" spans="1:6" x14ac:dyDescent="0.25">
      <c r="A4" s="12" t="s">
        <v>41</v>
      </c>
      <c r="B4" s="35">
        <f>C4/(D4-E4)</f>
        <v>0</v>
      </c>
      <c r="C4" s="35">
        <v>0</v>
      </c>
      <c r="D4" s="47">
        <f>228821318.15/1000</f>
        <v>228821.31815000001</v>
      </c>
      <c r="E4" s="53">
        <v>69.599999999999994</v>
      </c>
      <c r="F4" s="24">
        <v>1</v>
      </c>
    </row>
    <row r="5" spans="1:6" x14ac:dyDescent="0.25">
      <c r="A5" s="14" t="s">
        <v>42</v>
      </c>
      <c r="B5" s="35">
        <f t="shared" ref="B5:B26" si="0">C5/(D5-E5)</f>
        <v>0</v>
      </c>
      <c r="C5" s="35">
        <v>0</v>
      </c>
      <c r="D5" s="47">
        <f>200077379.3/1000</f>
        <v>200077.3793</v>
      </c>
      <c r="E5" s="53">
        <v>931.8</v>
      </c>
      <c r="F5" s="23">
        <v>1</v>
      </c>
    </row>
    <row r="6" spans="1:6" x14ac:dyDescent="0.25">
      <c r="A6" s="14" t="s">
        <v>43</v>
      </c>
      <c r="B6" s="35">
        <f t="shared" si="0"/>
        <v>0</v>
      </c>
      <c r="C6" s="35">
        <v>0</v>
      </c>
      <c r="D6" s="47">
        <f>149960844.38/1000</f>
        <v>149960.84437999999</v>
      </c>
      <c r="E6" s="53">
        <v>917.2</v>
      </c>
      <c r="F6" s="23">
        <v>1</v>
      </c>
    </row>
    <row r="7" spans="1:6" x14ac:dyDescent="0.25">
      <c r="A7" s="14" t="s">
        <v>22</v>
      </c>
      <c r="B7" s="35">
        <f t="shared" si="0"/>
        <v>0</v>
      </c>
      <c r="C7" s="35">
        <v>0</v>
      </c>
      <c r="D7" s="47">
        <f>24611767.66/1000</f>
        <v>24611.767660000001</v>
      </c>
      <c r="E7" s="37">
        <v>0</v>
      </c>
      <c r="F7" s="23">
        <v>1</v>
      </c>
    </row>
    <row r="8" spans="1:6" x14ac:dyDescent="0.25">
      <c r="A8" s="14" t="s">
        <v>23</v>
      </c>
      <c r="B8" s="35">
        <f t="shared" si="0"/>
        <v>0</v>
      </c>
      <c r="C8" s="35">
        <v>0</v>
      </c>
      <c r="D8" s="47">
        <f>16047078.02/1000</f>
        <v>16047.078019999999</v>
      </c>
      <c r="E8" s="37">
        <v>0</v>
      </c>
      <c r="F8" s="23">
        <v>1</v>
      </c>
    </row>
    <row r="9" spans="1:6" ht="17.25" customHeight="1" x14ac:dyDescent="0.25">
      <c r="A9" s="14" t="s">
        <v>24</v>
      </c>
      <c r="B9" s="35">
        <f t="shared" si="0"/>
        <v>0</v>
      </c>
      <c r="C9" s="35">
        <v>0</v>
      </c>
      <c r="D9" s="47">
        <f>13747221.93/1000</f>
        <v>13747.22193</v>
      </c>
      <c r="E9" s="37">
        <v>0</v>
      </c>
      <c r="F9" s="23">
        <v>1</v>
      </c>
    </row>
    <row r="10" spans="1:6" ht="17.25" customHeight="1" x14ac:dyDescent="0.25">
      <c r="A10" s="14" t="s">
        <v>25</v>
      </c>
      <c r="B10" s="35">
        <f t="shared" si="0"/>
        <v>0</v>
      </c>
      <c r="C10" s="35">
        <v>0</v>
      </c>
      <c r="D10" s="47">
        <f>17752260.59/1000</f>
        <v>17752.260589999998</v>
      </c>
      <c r="E10" s="37">
        <v>0</v>
      </c>
      <c r="F10" s="23">
        <v>1</v>
      </c>
    </row>
    <row r="11" spans="1:6" x14ac:dyDescent="0.25">
      <c r="A11" s="14" t="s">
        <v>26</v>
      </c>
      <c r="B11" s="35">
        <f t="shared" si="0"/>
        <v>0</v>
      </c>
      <c r="C11" s="35">
        <v>0</v>
      </c>
      <c r="D11" s="47">
        <f>14601659.11/1000</f>
        <v>14601.659109999999</v>
      </c>
      <c r="E11" s="37">
        <v>0</v>
      </c>
      <c r="F11" s="23">
        <v>1</v>
      </c>
    </row>
    <row r="12" spans="1:6" x14ac:dyDescent="0.25">
      <c r="A12" s="14" t="s">
        <v>27</v>
      </c>
      <c r="B12" s="35">
        <f t="shared" si="0"/>
        <v>0</v>
      </c>
      <c r="C12" s="35">
        <v>0</v>
      </c>
      <c r="D12" s="47">
        <f>20080754.43/1000</f>
        <v>20080.754430000001</v>
      </c>
      <c r="E12" s="37">
        <v>0</v>
      </c>
      <c r="F12" s="23">
        <v>1</v>
      </c>
    </row>
    <row r="13" spans="1:6" x14ac:dyDescent="0.25">
      <c r="A13" s="14" t="s">
        <v>28</v>
      </c>
      <c r="B13" s="35">
        <f t="shared" si="0"/>
        <v>0</v>
      </c>
      <c r="C13" s="35">
        <v>0</v>
      </c>
      <c r="D13" s="47">
        <f>19423451.92/1000</f>
        <v>19423.451920000003</v>
      </c>
      <c r="E13" s="37">
        <v>0</v>
      </c>
      <c r="F13" s="23">
        <v>1</v>
      </c>
    </row>
    <row r="14" spans="1:6" x14ac:dyDescent="0.25">
      <c r="A14" s="14" t="s">
        <v>29</v>
      </c>
      <c r="B14" s="35">
        <f t="shared" si="0"/>
        <v>0</v>
      </c>
      <c r="C14" s="35">
        <v>0</v>
      </c>
      <c r="D14" s="47">
        <f>18135128.13/1000</f>
        <v>18135.128129999997</v>
      </c>
      <c r="E14" s="37">
        <v>0</v>
      </c>
      <c r="F14" s="23">
        <v>1</v>
      </c>
    </row>
    <row r="15" spans="1:6" x14ac:dyDescent="0.25">
      <c r="A15" s="14" t="s">
        <v>30</v>
      </c>
      <c r="B15" s="35">
        <f t="shared" si="0"/>
        <v>0</v>
      </c>
      <c r="C15" s="35">
        <v>0</v>
      </c>
      <c r="D15" s="47">
        <f>12643624.16/1000</f>
        <v>12643.624159999999</v>
      </c>
      <c r="E15" s="37">
        <v>0</v>
      </c>
      <c r="F15" s="23">
        <v>1</v>
      </c>
    </row>
    <row r="16" spans="1:6" x14ac:dyDescent="0.25">
      <c r="A16" s="19" t="s">
        <v>31</v>
      </c>
      <c r="B16" s="35">
        <f t="shared" si="0"/>
        <v>0</v>
      </c>
      <c r="C16" s="35">
        <v>0</v>
      </c>
      <c r="D16" s="47">
        <f>19542441.61/1000</f>
        <v>19542.441609999998</v>
      </c>
      <c r="E16" s="37">
        <v>0</v>
      </c>
      <c r="F16" s="23">
        <v>1</v>
      </c>
    </row>
    <row r="17" spans="1:6" x14ac:dyDescent="0.25">
      <c r="A17" s="19" t="s">
        <v>32</v>
      </c>
      <c r="B17" s="35">
        <f t="shared" si="0"/>
        <v>0</v>
      </c>
      <c r="C17" s="35">
        <v>0</v>
      </c>
      <c r="D17" s="47">
        <f>18056253.76/1000</f>
        <v>18056.253760000003</v>
      </c>
      <c r="E17" s="37">
        <v>0</v>
      </c>
      <c r="F17" s="23">
        <v>1</v>
      </c>
    </row>
    <row r="18" spans="1:6" x14ac:dyDescent="0.25">
      <c r="A18" s="19" t="s">
        <v>33</v>
      </c>
      <c r="B18" s="35">
        <f t="shared" si="0"/>
        <v>0</v>
      </c>
      <c r="C18" s="35">
        <v>0</v>
      </c>
      <c r="D18" s="47">
        <f>22252397.6/1000</f>
        <v>22252.3976</v>
      </c>
      <c r="E18" s="37">
        <v>0</v>
      </c>
      <c r="F18" s="23">
        <v>1</v>
      </c>
    </row>
    <row r="19" spans="1:6" x14ac:dyDescent="0.25">
      <c r="A19" s="19" t="s">
        <v>34</v>
      </c>
      <c r="B19" s="35">
        <f t="shared" si="0"/>
        <v>0</v>
      </c>
      <c r="C19" s="35">
        <v>0</v>
      </c>
      <c r="D19" s="47">
        <f>12745448.37/1000</f>
        <v>12745.44837</v>
      </c>
      <c r="E19" s="37">
        <v>0</v>
      </c>
      <c r="F19" s="23">
        <v>1</v>
      </c>
    </row>
    <row r="20" spans="1:6" x14ac:dyDescent="0.25">
      <c r="A20" s="19" t="s">
        <v>35</v>
      </c>
      <c r="B20" s="35">
        <f t="shared" si="0"/>
        <v>0</v>
      </c>
      <c r="C20" s="35">
        <v>0</v>
      </c>
      <c r="D20" s="47">
        <f>23059577.57/1000</f>
        <v>23059.577570000001</v>
      </c>
      <c r="E20" s="37">
        <v>0</v>
      </c>
      <c r="F20" s="23">
        <v>1</v>
      </c>
    </row>
    <row r="21" spans="1:6" ht="12.75" customHeight="1" x14ac:dyDescent="0.25">
      <c r="A21" s="19" t="s">
        <v>36</v>
      </c>
      <c r="B21" s="35">
        <f t="shared" si="0"/>
        <v>0</v>
      </c>
      <c r="C21" s="35">
        <v>0</v>
      </c>
      <c r="D21" s="47">
        <f>10523262.42/1000</f>
        <v>10523.262419999999</v>
      </c>
      <c r="E21" s="37">
        <v>0</v>
      </c>
      <c r="F21" s="23">
        <v>1</v>
      </c>
    </row>
    <row r="22" spans="1:6" x14ac:dyDescent="0.25">
      <c r="A22" s="19" t="s">
        <v>53</v>
      </c>
      <c r="B22" s="35">
        <f t="shared" si="0"/>
        <v>0</v>
      </c>
      <c r="C22" s="35">
        <v>0</v>
      </c>
      <c r="D22" s="47">
        <f>8041947.7/1000</f>
        <v>8041.9477000000006</v>
      </c>
      <c r="E22" s="37">
        <v>0</v>
      </c>
      <c r="F22" s="23">
        <v>1</v>
      </c>
    </row>
    <row r="23" spans="1:6" ht="15" customHeight="1" x14ac:dyDescent="0.25">
      <c r="A23" s="19" t="s">
        <v>37</v>
      </c>
      <c r="B23" s="35">
        <f t="shared" si="0"/>
        <v>0</v>
      </c>
      <c r="C23" s="35">
        <v>0</v>
      </c>
      <c r="D23" s="47">
        <f>16548544.35/1000</f>
        <v>16548.54435</v>
      </c>
      <c r="E23" s="37">
        <v>0</v>
      </c>
      <c r="F23" s="23">
        <v>1</v>
      </c>
    </row>
    <row r="24" spans="1:6" x14ac:dyDescent="0.25">
      <c r="A24" s="19" t="s">
        <v>38</v>
      </c>
      <c r="B24" s="35">
        <f t="shared" si="0"/>
        <v>0</v>
      </c>
      <c r="C24" s="35">
        <v>0</v>
      </c>
      <c r="D24" s="47">
        <f>6183370.24/1000</f>
        <v>6183.3702400000002</v>
      </c>
      <c r="E24" s="37">
        <v>0</v>
      </c>
      <c r="F24" s="23">
        <v>1</v>
      </c>
    </row>
    <row r="25" spans="1:6" x14ac:dyDescent="0.25">
      <c r="A25" s="19" t="s">
        <v>39</v>
      </c>
      <c r="B25" s="35">
        <f t="shared" si="0"/>
        <v>0</v>
      </c>
      <c r="C25" s="35">
        <v>0</v>
      </c>
      <c r="D25" s="47">
        <f>6760978.01/1000</f>
        <v>6760.9780099999998</v>
      </c>
      <c r="E25" s="37">
        <v>0</v>
      </c>
      <c r="F25" s="23">
        <v>1</v>
      </c>
    </row>
    <row r="26" spans="1:6" x14ac:dyDescent="0.25">
      <c r="A26" s="19" t="s">
        <v>40</v>
      </c>
      <c r="B26" s="35">
        <f t="shared" si="0"/>
        <v>0</v>
      </c>
      <c r="C26" s="35">
        <v>0</v>
      </c>
      <c r="D26" s="47">
        <f>7199486.76/1000</f>
        <v>7199.4867599999998</v>
      </c>
      <c r="E26" s="37">
        <v>0</v>
      </c>
      <c r="F26" s="25">
        <v>1</v>
      </c>
    </row>
    <row r="28" spans="1:6" x14ac:dyDescent="0.25">
      <c r="A28" s="21" t="s">
        <v>65</v>
      </c>
      <c r="B28" t="s">
        <v>77</v>
      </c>
    </row>
    <row r="29" spans="1:6" x14ac:dyDescent="0.25">
      <c r="A29" s="21" t="s">
        <v>66</v>
      </c>
      <c r="B29" t="s">
        <v>78</v>
      </c>
    </row>
    <row r="30" spans="1:6" x14ac:dyDescent="0.25">
      <c r="A30" s="22" t="s">
        <v>67</v>
      </c>
      <c r="B30" t="s">
        <v>79</v>
      </c>
    </row>
  </sheetData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workbookViewId="0">
      <selection activeCell="K10" sqref="K10"/>
    </sheetView>
  </sheetViews>
  <sheetFormatPr defaultRowHeight="15" x14ac:dyDescent="0.25"/>
  <cols>
    <col min="1" max="1" width="22" customWidth="1"/>
    <col min="2" max="2" width="19.85546875" customWidth="1"/>
    <col min="3" max="3" width="11" customWidth="1"/>
    <col min="5" max="5" width="9.7109375" bestFit="1" customWidth="1"/>
    <col min="10" max="10" width="15.85546875" customWidth="1"/>
    <col min="11" max="11" width="15.5703125" customWidth="1"/>
    <col min="12" max="12" width="21.42578125" customWidth="1"/>
  </cols>
  <sheetData>
    <row r="2" spans="1:10" x14ac:dyDescent="0.25">
      <c r="J2" t="s">
        <v>71</v>
      </c>
    </row>
    <row r="3" spans="1:10" s="15" customFormat="1" ht="63" customHeight="1" x14ac:dyDescent="0.25">
      <c r="A3" s="16" t="s">
        <v>63</v>
      </c>
      <c r="B3" s="20" t="s">
        <v>81</v>
      </c>
      <c r="C3" s="17" t="s">
        <v>65</v>
      </c>
      <c r="D3" s="17" t="s">
        <v>66</v>
      </c>
      <c r="E3" s="17" t="s">
        <v>67</v>
      </c>
      <c r="F3" s="17" t="s">
        <v>82</v>
      </c>
      <c r="G3" s="17" t="s">
        <v>83</v>
      </c>
      <c r="H3" s="17" t="s">
        <v>84</v>
      </c>
      <c r="I3" s="17" t="s">
        <v>89</v>
      </c>
      <c r="J3" s="20" t="s">
        <v>90</v>
      </c>
    </row>
    <row r="4" spans="1:10" x14ac:dyDescent="0.25">
      <c r="A4" s="12" t="s">
        <v>41</v>
      </c>
      <c r="B4" s="18">
        <f>C4/I4</f>
        <v>0</v>
      </c>
      <c r="C4" s="46"/>
      <c r="D4" s="35">
        <v>0</v>
      </c>
      <c r="E4" s="36">
        <f>-G4</f>
        <v>-245872.58859</v>
      </c>
      <c r="F4" s="37">
        <v>0</v>
      </c>
      <c r="G4" s="47">
        <f>245872588.59/1000</f>
        <v>245872.58859</v>
      </c>
      <c r="H4" s="47">
        <f>224603540.76/1000</f>
        <v>224603.54076</v>
      </c>
      <c r="I4" s="36">
        <f>G4-H4</f>
        <v>21269.047829999996</v>
      </c>
      <c r="J4" s="34">
        <v>1</v>
      </c>
    </row>
    <row r="5" spans="1:10" x14ac:dyDescent="0.25">
      <c r="A5" s="14" t="s">
        <v>42</v>
      </c>
      <c r="B5" s="18">
        <f t="shared" ref="B5:B26" si="0">C5/I5</f>
        <v>0</v>
      </c>
      <c r="C5" s="46"/>
      <c r="D5" s="35">
        <v>0</v>
      </c>
      <c r="E5" s="36">
        <f>-G5</f>
        <v>-201712.99400000001</v>
      </c>
      <c r="F5" s="37">
        <v>0</v>
      </c>
      <c r="G5" s="47">
        <v>201712.99400000001</v>
      </c>
      <c r="H5" s="47">
        <v>172085.77</v>
      </c>
      <c r="I5" s="36">
        <f>G5-H5</f>
        <v>29627.224000000017</v>
      </c>
      <c r="J5" s="34">
        <v>1</v>
      </c>
    </row>
    <row r="6" spans="1:10" x14ac:dyDescent="0.25">
      <c r="A6" s="38" t="s">
        <v>43</v>
      </c>
      <c r="B6" s="39">
        <f t="shared" si="0"/>
        <v>0</v>
      </c>
      <c r="C6" s="46"/>
      <c r="D6" s="35">
        <v>0</v>
      </c>
      <c r="E6" s="36">
        <f t="shared" ref="E6:E26" si="1">-G6</f>
        <v>-158331.17329000001</v>
      </c>
      <c r="F6" s="37">
        <v>0</v>
      </c>
      <c r="G6" s="47">
        <f>158331173.29/1000</f>
        <v>158331.17329000001</v>
      </c>
      <c r="H6" s="47">
        <f>143590170/1000</f>
        <v>143590.17000000001</v>
      </c>
      <c r="I6" s="36">
        <f t="shared" ref="I6:I25" si="2">G6-H6</f>
        <v>14741.003289999993</v>
      </c>
      <c r="J6" s="34">
        <v>1</v>
      </c>
    </row>
    <row r="7" spans="1:10" x14ac:dyDescent="0.25">
      <c r="A7" s="14" t="s">
        <v>22</v>
      </c>
      <c r="B7" s="18">
        <f t="shared" si="0"/>
        <v>0</v>
      </c>
      <c r="C7" s="46"/>
      <c r="D7" s="35">
        <v>0</v>
      </c>
      <c r="E7" s="36">
        <f>-G7</f>
        <v>-24686.36938</v>
      </c>
      <c r="F7" s="37">
        <v>0</v>
      </c>
      <c r="G7" s="47">
        <f>24686369.38/1000</f>
        <v>24686.36938</v>
      </c>
      <c r="H7" s="47">
        <f>24121300/1000</f>
        <v>24121.3</v>
      </c>
      <c r="I7" s="36">
        <f t="shared" si="2"/>
        <v>565.06938000000082</v>
      </c>
      <c r="J7" s="34">
        <v>1</v>
      </c>
    </row>
    <row r="8" spans="1:10" x14ac:dyDescent="0.25">
      <c r="A8" s="14" t="s">
        <v>23</v>
      </c>
      <c r="B8" s="18">
        <f>C8/I8</f>
        <v>1.0495187059640749</v>
      </c>
      <c r="C8" s="46">
        <v>274.976</v>
      </c>
      <c r="D8" s="35">
        <v>0</v>
      </c>
      <c r="E8" s="36">
        <f t="shared" si="1"/>
        <v>-15772.102000000001</v>
      </c>
      <c r="F8" s="37">
        <v>0</v>
      </c>
      <c r="G8" s="47">
        <f>15772102/1000</f>
        <v>15772.102000000001</v>
      </c>
      <c r="H8" s="47">
        <f>15510100/1000</f>
        <v>15510.1</v>
      </c>
      <c r="I8" s="36">
        <f>G8-H8</f>
        <v>262.00200000000041</v>
      </c>
      <c r="J8" s="54">
        <v>0</v>
      </c>
    </row>
    <row r="9" spans="1:10" ht="17.25" customHeight="1" x14ac:dyDescent="0.25">
      <c r="A9" s="14" t="s">
        <v>24</v>
      </c>
      <c r="B9" s="18">
        <f t="shared" si="0"/>
        <v>0</v>
      </c>
      <c r="C9" s="46"/>
      <c r="D9" s="35">
        <v>0</v>
      </c>
      <c r="E9" s="36">
        <f t="shared" si="1"/>
        <v>-13762.418</v>
      </c>
      <c r="F9" s="37">
        <v>0</v>
      </c>
      <c r="G9" s="47">
        <v>13762.418</v>
      </c>
      <c r="H9" s="47">
        <f>13487.86</f>
        <v>13487.86</v>
      </c>
      <c r="I9" s="36">
        <f t="shared" si="2"/>
        <v>274.55799999999908</v>
      </c>
      <c r="J9" s="34">
        <v>1</v>
      </c>
    </row>
    <row r="10" spans="1:10" ht="17.25" customHeight="1" x14ac:dyDescent="0.25">
      <c r="A10" s="14" t="s">
        <v>25</v>
      </c>
      <c r="B10" s="18">
        <f t="shared" si="0"/>
        <v>0.47722274677598708</v>
      </c>
      <c r="C10" s="46">
        <v>159.715</v>
      </c>
      <c r="D10" s="35">
        <v>0</v>
      </c>
      <c r="E10" s="36">
        <f t="shared" si="1"/>
        <v>-17592.544999999998</v>
      </c>
      <c r="F10" s="37">
        <v>0</v>
      </c>
      <c r="G10" s="47">
        <v>17592.544999999998</v>
      </c>
      <c r="H10" s="47">
        <f>17257.869</f>
        <v>17257.868999999999</v>
      </c>
      <c r="I10" s="36">
        <f t="shared" si="2"/>
        <v>334.67599999999948</v>
      </c>
      <c r="J10" s="54">
        <v>0</v>
      </c>
    </row>
    <row r="11" spans="1:10" x14ac:dyDescent="0.25">
      <c r="A11" s="14" t="s">
        <v>26</v>
      </c>
      <c r="B11" s="18">
        <f t="shared" si="0"/>
        <v>0</v>
      </c>
      <c r="C11" s="46"/>
      <c r="D11" s="35">
        <v>0</v>
      </c>
      <c r="E11" s="36">
        <f t="shared" si="1"/>
        <v>-14634.970359999999</v>
      </c>
      <c r="F11" s="37">
        <v>0</v>
      </c>
      <c r="G11" s="47">
        <f>14634970.36/1000</f>
        <v>14634.970359999999</v>
      </c>
      <c r="H11" s="47">
        <f>14419200/1000</f>
        <v>14419.2</v>
      </c>
      <c r="I11" s="36">
        <f t="shared" si="2"/>
        <v>215.77035999999862</v>
      </c>
      <c r="J11" s="34">
        <v>1</v>
      </c>
    </row>
    <row r="12" spans="1:10" x14ac:dyDescent="0.25">
      <c r="A12" s="14" t="s">
        <v>27</v>
      </c>
      <c r="B12" s="18">
        <f t="shared" si="0"/>
        <v>0</v>
      </c>
      <c r="C12" s="46"/>
      <c r="D12" s="35">
        <v>0</v>
      </c>
      <c r="E12" s="36">
        <f t="shared" si="1"/>
        <v>-20490.044600000001</v>
      </c>
      <c r="F12" s="37">
        <v>0</v>
      </c>
      <c r="G12" s="47">
        <f>20490044.6/1000</f>
        <v>20490.044600000001</v>
      </c>
      <c r="H12" s="47">
        <f>20268230/1000</f>
        <v>20268.23</v>
      </c>
      <c r="I12" s="36">
        <f t="shared" si="2"/>
        <v>221.81460000000152</v>
      </c>
      <c r="J12" s="34">
        <v>1</v>
      </c>
    </row>
    <row r="13" spans="1:10" x14ac:dyDescent="0.25">
      <c r="A13" s="14" t="s">
        <v>28</v>
      </c>
      <c r="B13" s="18">
        <f t="shared" si="0"/>
        <v>2.0047499943335874</v>
      </c>
      <c r="C13" s="46">
        <v>229.08199999999999</v>
      </c>
      <c r="D13" s="35">
        <v>0</v>
      </c>
      <c r="E13" s="36">
        <f t="shared" si="1"/>
        <v>-19194.36953</v>
      </c>
      <c r="F13" s="37">
        <v>0</v>
      </c>
      <c r="G13" s="47">
        <f>19194369.53/1000</f>
        <v>19194.36953</v>
      </c>
      <c r="H13" s="47">
        <f>19080099.92/1000</f>
        <v>19080.099920000001</v>
      </c>
      <c r="I13" s="36">
        <f t="shared" si="2"/>
        <v>114.26960999999937</v>
      </c>
      <c r="J13" s="54">
        <v>0</v>
      </c>
    </row>
    <row r="14" spans="1:10" x14ac:dyDescent="0.25">
      <c r="A14" s="14" t="s">
        <v>29</v>
      </c>
      <c r="B14" s="18">
        <f t="shared" si="0"/>
        <v>0.51080532458148797</v>
      </c>
      <c r="C14" s="46">
        <v>161.56800000000001</v>
      </c>
      <c r="D14" s="35">
        <v>0</v>
      </c>
      <c r="E14" s="36">
        <f t="shared" si="1"/>
        <v>-17973.560539999999</v>
      </c>
      <c r="F14" s="37">
        <v>0</v>
      </c>
      <c r="G14" s="47">
        <f>17973560.54/1000</f>
        <v>17973.560539999999</v>
      </c>
      <c r="H14" s="47">
        <f>17657260/1000</f>
        <v>17657.259999999998</v>
      </c>
      <c r="I14" s="36">
        <f t="shared" si="2"/>
        <v>316.30054000000018</v>
      </c>
      <c r="J14" s="54">
        <v>0</v>
      </c>
    </row>
    <row r="15" spans="1:10" x14ac:dyDescent="0.25">
      <c r="A15" s="14" t="s">
        <v>30</v>
      </c>
      <c r="B15" s="18">
        <f t="shared" si="0"/>
        <v>0</v>
      </c>
      <c r="C15" s="46"/>
      <c r="D15" s="35">
        <v>0</v>
      </c>
      <c r="E15" s="36">
        <f t="shared" si="1"/>
        <v>-12804.553</v>
      </c>
      <c r="F15" s="37">
        <v>0</v>
      </c>
      <c r="G15" s="47">
        <v>12804.553</v>
      </c>
      <c r="H15" s="47">
        <v>12614.438</v>
      </c>
      <c r="I15" s="36">
        <f t="shared" si="2"/>
        <v>190.11499999999978</v>
      </c>
      <c r="J15" s="34">
        <v>1</v>
      </c>
    </row>
    <row r="16" spans="1:10" x14ac:dyDescent="0.25">
      <c r="A16" s="19" t="s">
        <v>31</v>
      </c>
      <c r="B16" s="18">
        <f t="shared" si="0"/>
        <v>0</v>
      </c>
      <c r="C16" s="46"/>
      <c r="D16" s="35">
        <v>0</v>
      </c>
      <c r="E16" s="36">
        <f t="shared" si="1"/>
        <v>-20274.439109999999</v>
      </c>
      <c r="F16" s="37">
        <v>0</v>
      </c>
      <c r="G16" s="47">
        <f>20274439.11/1000</f>
        <v>20274.439109999999</v>
      </c>
      <c r="H16" s="47">
        <f>20004682/1000</f>
        <v>20004.682000000001</v>
      </c>
      <c r="I16" s="36">
        <f t="shared" si="2"/>
        <v>269.75710999999865</v>
      </c>
      <c r="J16" s="34">
        <v>1</v>
      </c>
    </row>
    <row r="17" spans="1:10" x14ac:dyDescent="0.25">
      <c r="A17" s="19" t="s">
        <v>32</v>
      </c>
      <c r="B17" s="18">
        <f>C17/I17</f>
        <v>0</v>
      </c>
      <c r="C17" s="46"/>
      <c r="D17" s="35">
        <v>0</v>
      </c>
      <c r="E17" s="36">
        <f t="shared" si="1"/>
        <v>-18186.031800000001</v>
      </c>
      <c r="F17" s="37">
        <v>0</v>
      </c>
      <c r="G17" s="47">
        <f>18186031.8/1000</f>
        <v>18186.031800000001</v>
      </c>
      <c r="H17" s="47">
        <f>17695849/1000</f>
        <v>17695.848999999998</v>
      </c>
      <c r="I17" s="36">
        <f t="shared" si="2"/>
        <v>490.18280000000232</v>
      </c>
      <c r="J17" s="34">
        <v>1</v>
      </c>
    </row>
    <row r="18" spans="1:10" x14ac:dyDescent="0.25">
      <c r="A18" s="19" t="s">
        <v>33</v>
      </c>
      <c r="B18" s="18">
        <f t="shared" si="0"/>
        <v>0</v>
      </c>
      <c r="C18" s="46"/>
      <c r="D18" s="35">
        <v>0</v>
      </c>
      <c r="E18" s="36">
        <f t="shared" si="1"/>
        <v>-22252.3976</v>
      </c>
      <c r="F18" s="37">
        <v>0</v>
      </c>
      <c r="G18" s="47">
        <f>22252397.6/1000</f>
        <v>22252.3976</v>
      </c>
      <c r="H18" s="47">
        <f>11278018/1000</f>
        <v>11278.018</v>
      </c>
      <c r="I18" s="36">
        <f t="shared" si="2"/>
        <v>10974.3796</v>
      </c>
      <c r="J18" s="34">
        <v>1</v>
      </c>
    </row>
    <row r="19" spans="1:10" x14ac:dyDescent="0.25">
      <c r="A19" s="19" t="s">
        <v>34</v>
      </c>
      <c r="B19" s="18">
        <f t="shared" si="0"/>
        <v>0</v>
      </c>
      <c r="C19" s="46"/>
      <c r="D19" s="35">
        <v>0</v>
      </c>
      <c r="E19" s="36">
        <f t="shared" si="1"/>
        <v>-12867.20528</v>
      </c>
      <c r="F19" s="37">
        <v>0</v>
      </c>
      <c r="G19" s="47">
        <f>12867205.28/1000</f>
        <v>12867.20528</v>
      </c>
      <c r="H19" s="47">
        <f>12061270/1000</f>
        <v>12061.27</v>
      </c>
      <c r="I19" s="36">
        <f t="shared" si="2"/>
        <v>805.93527999999969</v>
      </c>
      <c r="J19" s="34">
        <v>1</v>
      </c>
    </row>
    <row r="20" spans="1:10" x14ac:dyDescent="0.25">
      <c r="A20" s="19" t="s">
        <v>35</v>
      </c>
      <c r="B20" s="18">
        <f t="shared" si="0"/>
        <v>0</v>
      </c>
      <c r="C20" s="46"/>
      <c r="D20" s="35">
        <v>0</v>
      </c>
      <c r="E20" s="36">
        <f t="shared" si="1"/>
        <v>-23243.624179999999</v>
      </c>
      <c r="F20" s="37">
        <v>0</v>
      </c>
      <c r="G20" s="47">
        <f>23243624.18/1000</f>
        <v>23243.624179999999</v>
      </c>
      <c r="H20" s="47">
        <f>23050525/1000</f>
        <v>23050.525000000001</v>
      </c>
      <c r="I20" s="36">
        <f t="shared" si="2"/>
        <v>193.09917999999743</v>
      </c>
      <c r="J20" s="34">
        <v>1</v>
      </c>
    </row>
    <row r="21" spans="1:10" ht="12.75" customHeight="1" x14ac:dyDescent="0.25">
      <c r="A21" s="19" t="s">
        <v>36</v>
      </c>
      <c r="B21" s="18">
        <f t="shared" si="0"/>
        <v>0</v>
      </c>
      <c r="C21" s="46"/>
      <c r="D21" s="35">
        <v>0</v>
      </c>
      <c r="E21" s="36">
        <f t="shared" si="1"/>
        <v>-10930.318929999999</v>
      </c>
      <c r="F21" s="37">
        <v>0</v>
      </c>
      <c r="G21" s="47">
        <f>10930318.93/1000</f>
        <v>10930.318929999999</v>
      </c>
      <c r="H21" s="47">
        <f>10708010/1000</f>
        <v>10708.01</v>
      </c>
      <c r="I21" s="36">
        <f t="shared" si="2"/>
        <v>222.30892999999924</v>
      </c>
      <c r="J21" s="34">
        <v>1</v>
      </c>
    </row>
    <row r="22" spans="1:10" x14ac:dyDescent="0.25">
      <c r="A22" s="19" t="s">
        <v>53</v>
      </c>
      <c r="B22" s="18">
        <f t="shared" si="0"/>
        <v>0.72149311689039797</v>
      </c>
      <c r="C22" s="46">
        <f>264.639</f>
        <v>264.63900000000001</v>
      </c>
      <c r="D22" s="35">
        <v>0</v>
      </c>
      <c r="E22" s="36">
        <f t="shared" si="1"/>
        <v>-7777.3085199999996</v>
      </c>
      <c r="F22" s="37">
        <v>0</v>
      </c>
      <c r="G22" s="47">
        <f>7777308.52/1000</f>
        <v>7777.3085199999996</v>
      </c>
      <c r="H22" s="47">
        <f>7410515/1000</f>
        <v>7410.5150000000003</v>
      </c>
      <c r="I22" s="36">
        <f t="shared" si="2"/>
        <v>366.79351999999926</v>
      </c>
      <c r="J22" s="54">
        <v>0</v>
      </c>
    </row>
    <row r="23" spans="1:10" ht="15" customHeight="1" x14ac:dyDescent="0.25">
      <c r="A23" s="19" t="s">
        <v>37</v>
      </c>
      <c r="B23" s="18">
        <f t="shared" si="0"/>
        <v>0.56935531657522942</v>
      </c>
      <c r="C23" s="46">
        <v>118.127</v>
      </c>
      <c r="D23" s="35">
        <v>0</v>
      </c>
      <c r="E23" s="36">
        <f t="shared" si="1"/>
        <v>-16430.417000000001</v>
      </c>
      <c r="F23" s="37">
        <v>0</v>
      </c>
      <c r="G23" s="47">
        <f>16430417/1000</f>
        <v>16430.417000000001</v>
      </c>
      <c r="H23" s="47">
        <f>16222941.99/1000</f>
        <v>16222.941989999999</v>
      </c>
      <c r="I23" s="36">
        <f t="shared" si="2"/>
        <v>207.47501000000193</v>
      </c>
      <c r="J23" s="54">
        <v>0</v>
      </c>
    </row>
    <row r="24" spans="1:10" x14ac:dyDescent="0.25">
      <c r="A24" s="19" t="s">
        <v>38</v>
      </c>
      <c r="B24" s="18">
        <f t="shared" si="0"/>
        <v>6.7371391382420251E-2</v>
      </c>
      <c r="C24" s="46">
        <v>9</v>
      </c>
      <c r="D24" s="35">
        <v>0</v>
      </c>
      <c r="E24" s="36">
        <f t="shared" si="1"/>
        <v>-6174.3458600000004</v>
      </c>
      <c r="F24" s="37">
        <v>0</v>
      </c>
      <c r="G24" s="47">
        <f>6174345.86/1000</f>
        <v>6174.3458600000004</v>
      </c>
      <c r="H24" s="47">
        <f>6040758/1000</f>
        <v>6040.7579999999998</v>
      </c>
      <c r="I24" s="36">
        <f t="shared" si="2"/>
        <v>133.58786000000055</v>
      </c>
      <c r="J24" s="34">
        <v>1</v>
      </c>
    </row>
    <row r="25" spans="1:10" x14ac:dyDescent="0.25">
      <c r="A25" s="19" t="s">
        <v>39</v>
      </c>
      <c r="B25" s="18">
        <f t="shared" si="0"/>
        <v>0.37593032707567253</v>
      </c>
      <c r="C25" s="46">
        <v>60.701000000000001</v>
      </c>
      <c r="D25" s="35">
        <v>0</v>
      </c>
      <c r="E25" s="36">
        <f t="shared" si="1"/>
        <v>-6700.27675</v>
      </c>
      <c r="F25" s="37">
        <v>0</v>
      </c>
      <c r="G25" s="47">
        <f>6700276.75/1000</f>
        <v>6700.27675</v>
      </c>
      <c r="H25" s="47">
        <f>6538808/1000</f>
        <v>6538.808</v>
      </c>
      <c r="I25" s="36">
        <f t="shared" si="2"/>
        <v>161.46875</v>
      </c>
      <c r="J25" s="54">
        <v>0</v>
      </c>
    </row>
    <row r="26" spans="1:10" x14ac:dyDescent="0.25">
      <c r="A26" s="19" t="s">
        <v>40</v>
      </c>
      <c r="B26" s="18">
        <f t="shared" si="0"/>
        <v>0</v>
      </c>
      <c r="C26" s="46"/>
      <c r="D26" s="35">
        <v>0</v>
      </c>
      <c r="E26" s="36">
        <f t="shared" si="1"/>
        <v>-7347.7920700000004</v>
      </c>
      <c r="F26" s="37">
        <v>0</v>
      </c>
      <c r="G26" s="47">
        <f>7347792.07/1000</f>
        <v>7347.7920700000004</v>
      </c>
      <c r="H26" s="47">
        <f>6998461/1000</f>
        <v>6998.4610000000002</v>
      </c>
      <c r="I26" s="36">
        <f>G26-H26</f>
        <v>349.33107000000018</v>
      </c>
      <c r="J26" s="34">
        <v>1</v>
      </c>
    </row>
    <row r="27" spans="1:10" x14ac:dyDescent="0.25">
      <c r="E27" s="31"/>
    </row>
    <row r="28" spans="1:10" x14ac:dyDescent="0.25">
      <c r="A28" s="21" t="s">
        <v>65</v>
      </c>
      <c r="B28" t="s">
        <v>85</v>
      </c>
    </row>
    <row r="29" spans="1:10" x14ac:dyDescent="0.25">
      <c r="A29" s="21" t="s">
        <v>66</v>
      </c>
      <c r="B29" t="s">
        <v>86</v>
      </c>
    </row>
    <row r="30" spans="1:10" x14ac:dyDescent="0.25">
      <c r="A30" s="22" t="s">
        <v>67</v>
      </c>
      <c r="B30" t="s">
        <v>88</v>
      </c>
    </row>
    <row r="31" spans="1:10" x14ac:dyDescent="0.25">
      <c r="A31" s="22" t="s">
        <v>82</v>
      </c>
      <c r="B31" t="s">
        <v>87</v>
      </c>
    </row>
    <row r="32" spans="1:10" x14ac:dyDescent="0.25">
      <c r="A32" s="22" t="s">
        <v>83</v>
      </c>
      <c r="B32" t="s">
        <v>74</v>
      </c>
    </row>
    <row r="33" spans="1:2" x14ac:dyDescent="0.25">
      <c r="A33" s="22" t="s">
        <v>84</v>
      </c>
      <c r="B33" t="s">
        <v>75</v>
      </c>
    </row>
  </sheetData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workbookViewId="0">
      <selection activeCell="H22" sqref="H22"/>
    </sheetView>
  </sheetViews>
  <sheetFormatPr defaultRowHeight="15" x14ac:dyDescent="0.25"/>
  <cols>
    <col min="1" max="1" width="22" customWidth="1"/>
    <col min="2" max="2" width="19.85546875" customWidth="1"/>
    <col min="3" max="3" width="11" customWidth="1"/>
    <col min="4" max="4" width="10.42578125" customWidth="1"/>
    <col min="5" max="5" width="16.85546875" customWidth="1"/>
    <col min="6" max="6" width="15.5703125" customWidth="1"/>
  </cols>
  <sheetData>
    <row r="2" spans="1:5" x14ac:dyDescent="0.25">
      <c r="E2" t="s">
        <v>71</v>
      </c>
    </row>
    <row r="3" spans="1:5" s="15" customFormat="1" ht="63" customHeight="1" x14ac:dyDescent="0.25">
      <c r="A3" s="16" t="s">
        <v>63</v>
      </c>
      <c r="B3" s="20" t="s">
        <v>91</v>
      </c>
      <c r="C3" s="17" t="s">
        <v>65</v>
      </c>
      <c r="D3" s="17" t="s">
        <v>66</v>
      </c>
      <c r="E3" s="20" t="s">
        <v>92</v>
      </c>
    </row>
    <row r="4" spans="1:5" x14ac:dyDescent="0.25">
      <c r="A4" s="12" t="s">
        <v>41</v>
      </c>
      <c r="B4" s="29">
        <f>C4/D4</f>
        <v>0.92828282828282827</v>
      </c>
      <c r="C4" s="44">
        <v>919</v>
      </c>
      <c r="D4" s="44">
        <v>990</v>
      </c>
      <c r="E4" s="27">
        <v>1</v>
      </c>
    </row>
    <row r="5" spans="1:5" x14ac:dyDescent="0.25">
      <c r="A5" s="14" t="s">
        <v>42</v>
      </c>
      <c r="B5" s="55">
        <f>C5/D5</f>
        <v>1.0220820189274449</v>
      </c>
      <c r="C5" s="44">
        <v>972</v>
      </c>
      <c r="D5" s="44">
        <v>951</v>
      </c>
      <c r="E5" s="34">
        <v>1</v>
      </c>
    </row>
    <row r="6" spans="1:5" x14ac:dyDescent="0.25">
      <c r="A6" s="14" t="s">
        <v>43</v>
      </c>
      <c r="B6" s="29">
        <f t="shared" ref="B6:B26" si="0">C6/D6</f>
        <v>1</v>
      </c>
      <c r="C6" s="44">
        <v>954</v>
      </c>
      <c r="D6" s="44">
        <v>954</v>
      </c>
      <c r="E6" s="27">
        <v>1</v>
      </c>
    </row>
    <row r="7" spans="1:5" x14ac:dyDescent="0.25">
      <c r="A7" s="14" t="s">
        <v>22</v>
      </c>
      <c r="B7" s="29">
        <f t="shared" si="0"/>
        <v>1.0135746606334841</v>
      </c>
      <c r="C7" s="44">
        <v>1120</v>
      </c>
      <c r="D7" s="44">
        <v>1105</v>
      </c>
      <c r="E7" s="27">
        <v>1</v>
      </c>
    </row>
    <row r="8" spans="1:5" x14ac:dyDescent="0.25">
      <c r="A8" s="14" t="s">
        <v>23</v>
      </c>
      <c r="B8" s="29">
        <f t="shared" si="0"/>
        <v>1</v>
      </c>
      <c r="C8" s="44">
        <v>1300</v>
      </c>
      <c r="D8" s="44">
        <v>1300</v>
      </c>
      <c r="E8" s="34">
        <v>1</v>
      </c>
    </row>
    <row r="9" spans="1:5" ht="17.25" customHeight="1" x14ac:dyDescent="0.25">
      <c r="A9" s="14" t="s">
        <v>24</v>
      </c>
      <c r="B9" s="29">
        <f t="shared" si="0"/>
        <v>1</v>
      </c>
      <c r="C9" s="44">
        <v>1154</v>
      </c>
      <c r="D9" s="44">
        <v>1154</v>
      </c>
      <c r="E9" s="34">
        <v>1</v>
      </c>
    </row>
    <row r="10" spans="1:5" ht="17.25" customHeight="1" x14ac:dyDescent="0.25">
      <c r="A10" s="14" t="s">
        <v>25</v>
      </c>
      <c r="B10" s="29">
        <f t="shared" si="0"/>
        <v>1</v>
      </c>
      <c r="C10" s="44">
        <v>1186</v>
      </c>
      <c r="D10" s="44">
        <v>1186</v>
      </c>
      <c r="E10" s="34">
        <v>1</v>
      </c>
    </row>
    <row r="11" spans="1:5" x14ac:dyDescent="0.25">
      <c r="A11" s="14" t="s">
        <v>26</v>
      </c>
      <c r="B11" s="29">
        <f t="shared" si="0"/>
        <v>1</v>
      </c>
      <c r="C11" s="45">
        <v>1252</v>
      </c>
      <c r="D11" s="45">
        <v>1252</v>
      </c>
      <c r="E11" s="34">
        <v>1</v>
      </c>
    </row>
    <row r="12" spans="1:5" x14ac:dyDescent="0.25">
      <c r="A12" s="14" t="s">
        <v>27</v>
      </c>
      <c r="B12" s="29">
        <f t="shared" si="0"/>
        <v>1.0927209705372618</v>
      </c>
      <c r="C12" s="44">
        <v>1261</v>
      </c>
      <c r="D12" s="44">
        <v>1154</v>
      </c>
      <c r="E12" s="54">
        <v>0</v>
      </c>
    </row>
    <row r="13" spans="1:5" x14ac:dyDescent="0.25">
      <c r="A13" s="14" t="s">
        <v>28</v>
      </c>
      <c r="B13" s="55">
        <f t="shared" si="0"/>
        <v>1</v>
      </c>
      <c r="C13" s="44">
        <v>1154</v>
      </c>
      <c r="D13" s="44">
        <v>1154</v>
      </c>
      <c r="E13" s="34">
        <v>1</v>
      </c>
    </row>
    <row r="14" spans="1:5" x14ac:dyDescent="0.25">
      <c r="A14" s="14" t="s">
        <v>29</v>
      </c>
      <c r="B14" s="29">
        <f t="shared" si="0"/>
        <v>1</v>
      </c>
      <c r="C14" s="44">
        <v>1252</v>
      </c>
      <c r="D14" s="44">
        <v>1252</v>
      </c>
      <c r="E14" s="34">
        <v>1</v>
      </c>
    </row>
    <row r="15" spans="1:5" x14ac:dyDescent="0.25">
      <c r="A15" s="14" t="s">
        <v>30</v>
      </c>
      <c r="B15" s="29">
        <f t="shared" si="0"/>
        <v>1.1633333333333333</v>
      </c>
      <c r="C15" s="44">
        <v>1396</v>
      </c>
      <c r="D15" s="44">
        <v>1200</v>
      </c>
      <c r="E15" s="34">
        <v>1</v>
      </c>
    </row>
    <row r="16" spans="1:5" x14ac:dyDescent="0.25">
      <c r="A16" s="19" t="s">
        <v>31</v>
      </c>
      <c r="B16" s="29">
        <f t="shared" si="0"/>
        <v>1.0578661844484629</v>
      </c>
      <c r="C16" s="44">
        <v>1170</v>
      </c>
      <c r="D16" s="44">
        <v>1106</v>
      </c>
      <c r="E16" s="34">
        <v>1</v>
      </c>
    </row>
    <row r="17" spans="1:5" x14ac:dyDescent="0.25">
      <c r="A17" s="19" t="s">
        <v>32</v>
      </c>
      <c r="B17" s="29">
        <f t="shared" si="0"/>
        <v>1.2497801231310466</v>
      </c>
      <c r="C17" s="44">
        <v>1421</v>
      </c>
      <c r="D17" s="44">
        <v>1137</v>
      </c>
      <c r="E17" s="34">
        <v>1</v>
      </c>
    </row>
    <row r="18" spans="1:5" x14ac:dyDescent="0.25">
      <c r="A18" s="19" t="s">
        <v>33</v>
      </c>
      <c r="B18" s="29">
        <f t="shared" si="0"/>
        <v>1.1725000000000001</v>
      </c>
      <c r="C18" s="44">
        <v>1407</v>
      </c>
      <c r="D18" s="44">
        <v>1200</v>
      </c>
      <c r="E18" s="34">
        <v>1</v>
      </c>
    </row>
    <row r="19" spans="1:5" x14ac:dyDescent="0.25">
      <c r="A19" s="19" t="s">
        <v>34</v>
      </c>
      <c r="B19" s="29">
        <f t="shared" si="0"/>
        <v>0.9975922953451043</v>
      </c>
      <c r="C19" s="44">
        <v>1243</v>
      </c>
      <c r="D19" s="44">
        <v>1246</v>
      </c>
      <c r="E19" s="34">
        <v>1</v>
      </c>
    </row>
    <row r="20" spans="1:5" x14ac:dyDescent="0.25">
      <c r="A20" s="19" t="s">
        <v>35</v>
      </c>
      <c r="B20" s="29">
        <f t="shared" si="0"/>
        <v>1.3816666666666666</v>
      </c>
      <c r="C20" s="44">
        <v>1658</v>
      </c>
      <c r="D20" s="44">
        <v>1200</v>
      </c>
      <c r="E20" s="54">
        <v>0</v>
      </c>
    </row>
    <row r="21" spans="1:5" ht="12.75" customHeight="1" x14ac:dyDescent="0.25">
      <c r="A21" s="19" t="s">
        <v>36</v>
      </c>
      <c r="B21" s="29">
        <f t="shared" si="0"/>
        <v>1.17</v>
      </c>
      <c r="C21" s="44">
        <v>1404</v>
      </c>
      <c r="D21" s="44">
        <v>1200</v>
      </c>
      <c r="E21" s="34">
        <v>1</v>
      </c>
    </row>
    <row r="22" spans="1:5" x14ac:dyDescent="0.25">
      <c r="A22" s="19" t="s">
        <v>53</v>
      </c>
      <c r="B22" s="29">
        <f t="shared" si="0"/>
        <v>1.01</v>
      </c>
      <c r="C22" s="44">
        <v>1212</v>
      </c>
      <c r="D22" s="44">
        <v>1200</v>
      </c>
      <c r="E22" s="34">
        <v>1</v>
      </c>
    </row>
    <row r="23" spans="1:5" ht="15" customHeight="1" x14ac:dyDescent="0.25">
      <c r="A23" s="19" t="s">
        <v>37</v>
      </c>
      <c r="B23" s="29">
        <f t="shared" si="0"/>
        <v>0.99916666666666665</v>
      </c>
      <c r="C23" s="44">
        <v>1199</v>
      </c>
      <c r="D23" s="44">
        <v>1200</v>
      </c>
      <c r="E23" s="34">
        <v>1</v>
      </c>
    </row>
    <row r="24" spans="1:5" x14ac:dyDescent="0.25">
      <c r="A24" s="19" t="s">
        <v>38</v>
      </c>
      <c r="B24" s="55">
        <f t="shared" si="0"/>
        <v>0.99916666666666665</v>
      </c>
      <c r="C24" s="44">
        <v>1199</v>
      </c>
      <c r="D24" s="44">
        <v>1200</v>
      </c>
      <c r="E24" s="34">
        <v>1</v>
      </c>
    </row>
    <row r="25" spans="1:5" x14ac:dyDescent="0.25">
      <c r="A25" s="19" t="s">
        <v>39</v>
      </c>
      <c r="B25" s="29">
        <f t="shared" si="0"/>
        <v>0.99916666666666665</v>
      </c>
      <c r="C25" s="44">
        <v>1199</v>
      </c>
      <c r="D25" s="44">
        <v>1200</v>
      </c>
      <c r="E25" s="27">
        <v>1</v>
      </c>
    </row>
    <row r="26" spans="1:5" x14ac:dyDescent="0.25">
      <c r="A26" s="19" t="s">
        <v>40</v>
      </c>
      <c r="B26" s="29">
        <f t="shared" si="0"/>
        <v>1.0008333333333332</v>
      </c>
      <c r="C26" s="44">
        <v>1201</v>
      </c>
      <c r="D26" s="44">
        <v>1200</v>
      </c>
      <c r="E26" s="27">
        <v>1</v>
      </c>
    </row>
    <row r="28" spans="1:5" x14ac:dyDescent="0.25">
      <c r="A28" s="21" t="s">
        <v>65</v>
      </c>
      <c r="B28" t="s">
        <v>93</v>
      </c>
    </row>
    <row r="29" spans="1:5" x14ac:dyDescent="0.25">
      <c r="A29" s="21" t="s">
        <v>66</v>
      </c>
      <c r="B29" t="s">
        <v>94</v>
      </c>
    </row>
    <row r="31" spans="1:5" x14ac:dyDescent="0.25">
      <c r="A31" t="s">
        <v>114</v>
      </c>
    </row>
  </sheetData>
  <pageMargins left="0.7" right="0.7" top="0.75" bottom="0.75" header="0.3" footer="0.3"/>
  <pageSetup paperSize="9" scale="38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F12" sqref="F12"/>
    </sheetView>
  </sheetViews>
  <sheetFormatPr defaultRowHeight="15" x14ac:dyDescent="0.25"/>
  <cols>
    <col min="1" max="1" width="22" customWidth="1"/>
    <col min="2" max="2" width="11" customWidth="1"/>
    <col min="3" max="3" width="16.85546875" customWidth="1"/>
    <col min="4" max="4" width="10" customWidth="1"/>
  </cols>
  <sheetData>
    <row r="2" spans="1:3" x14ac:dyDescent="0.25">
      <c r="C2" t="s">
        <v>71</v>
      </c>
    </row>
    <row r="3" spans="1:3" s="15" customFormat="1" ht="63" customHeight="1" x14ac:dyDescent="0.25">
      <c r="A3" s="16" t="s">
        <v>63</v>
      </c>
      <c r="B3" s="17" t="s">
        <v>65</v>
      </c>
      <c r="C3" s="20" t="s">
        <v>95</v>
      </c>
    </row>
    <row r="4" spans="1:3" x14ac:dyDescent="0.25">
      <c r="A4" s="12" t="s">
        <v>41</v>
      </c>
      <c r="B4" s="26" t="s">
        <v>96</v>
      </c>
      <c r="C4" s="34">
        <v>1</v>
      </c>
    </row>
    <row r="5" spans="1:3" x14ac:dyDescent="0.25">
      <c r="A5" s="14" t="s">
        <v>42</v>
      </c>
      <c r="B5" s="26" t="s">
        <v>96</v>
      </c>
      <c r="C5" s="34">
        <v>1</v>
      </c>
    </row>
    <row r="6" spans="1:3" x14ac:dyDescent="0.25">
      <c r="A6" s="14" t="s">
        <v>43</v>
      </c>
      <c r="B6" s="26" t="s">
        <v>96</v>
      </c>
      <c r="C6" s="34">
        <v>1</v>
      </c>
    </row>
    <row r="7" spans="1:3" x14ac:dyDescent="0.25">
      <c r="A7" s="14" t="s">
        <v>22</v>
      </c>
      <c r="B7" s="26" t="s">
        <v>96</v>
      </c>
      <c r="C7" s="34">
        <v>1</v>
      </c>
    </row>
    <row r="8" spans="1:3" x14ac:dyDescent="0.25">
      <c r="A8" s="14" t="s">
        <v>23</v>
      </c>
      <c r="B8" s="26" t="s">
        <v>96</v>
      </c>
      <c r="C8" s="34">
        <v>1</v>
      </c>
    </row>
    <row r="9" spans="1:3" ht="17.25" customHeight="1" x14ac:dyDescent="0.25">
      <c r="A9" s="14" t="s">
        <v>24</v>
      </c>
      <c r="B9" s="26" t="s">
        <v>96</v>
      </c>
      <c r="C9" s="34">
        <v>1</v>
      </c>
    </row>
    <row r="10" spans="1:3" ht="17.25" customHeight="1" x14ac:dyDescent="0.25">
      <c r="A10" s="14" t="s">
        <v>25</v>
      </c>
      <c r="B10" s="26" t="s">
        <v>96</v>
      </c>
      <c r="C10" s="34">
        <v>1</v>
      </c>
    </row>
    <row r="11" spans="1:3" x14ac:dyDescent="0.25">
      <c r="A11" s="14" t="s">
        <v>26</v>
      </c>
      <c r="B11" s="26" t="s">
        <v>96</v>
      </c>
      <c r="C11" s="34">
        <v>1</v>
      </c>
    </row>
    <row r="12" spans="1:3" x14ac:dyDescent="0.25">
      <c r="A12" s="14" t="s">
        <v>27</v>
      </c>
      <c r="B12" s="26" t="s">
        <v>96</v>
      </c>
      <c r="C12" s="34">
        <v>1</v>
      </c>
    </row>
    <row r="13" spans="1:3" x14ac:dyDescent="0.25">
      <c r="A13" s="14" t="s">
        <v>28</v>
      </c>
      <c r="B13" s="26" t="s">
        <v>96</v>
      </c>
      <c r="C13" s="34">
        <v>1</v>
      </c>
    </row>
    <row r="14" spans="1:3" x14ac:dyDescent="0.25">
      <c r="A14" s="14" t="s">
        <v>29</v>
      </c>
      <c r="B14" s="26" t="s">
        <v>96</v>
      </c>
      <c r="C14" s="34">
        <v>1</v>
      </c>
    </row>
    <row r="15" spans="1:3" x14ac:dyDescent="0.25">
      <c r="A15" s="14" t="s">
        <v>30</v>
      </c>
      <c r="B15" s="26" t="s">
        <v>96</v>
      </c>
      <c r="C15" s="34">
        <v>1</v>
      </c>
    </row>
    <row r="16" spans="1:3" x14ac:dyDescent="0.25">
      <c r="A16" s="19" t="s">
        <v>31</v>
      </c>
      <c r="B16" s="26" t="s">
        <v>96</v>
      </c>
      <c r="C16" s="34">
        <v>1</v>
      </c>
    </row>
    <row r="17" spans="1:3" x14ac:dyDescent="0.25">
      <c r="A17" s="19" t="s">
        <v>32</v>
      </c>
      <c r="B17" s="26" t="s">
        <v>96</v>
      </c>
      <c r="C17" s="34">
        <v>1</v>
      </c>
    </row>
    <row r="18" spans="1:3" x14ac:dyDescent="0.25">
      <c r="A18" s="19" t="s">
        <v>33</v>
      </c>
      <c r="B18" s="26" t="s">
        <v>96</v>
      </c>
      <c r="C18" s="34">
        <v>1</v>
      </c>
    </row>
    <row r="19" spans="1:3" x14ac:dyDescent="0.25">
      <c r="A19" s="19" t="s">
        <v>34</v>
      </c>
      <c r="B19" s="26" t="s">
        <v>96</v>
      </c>
      <c r="C19" s="34">
        <v>1</v>
      </c>
    </row>
    <row r="20" spans="1:3" x14ac:dyDescent="0.25">
      <c r="A20" s="19" t="s">
        <v>35</v>
      </c>
      <c r="B20" s="26" t="s">
        <v>96</v>
      </c>
      <c r="C20" s="34">
        <v>1</v>
      </c>
    </row>
    <row r="21" spans="1:3" ht="12.75" customHeight="1" x14ac:dyDescent="0.25">
      <c r="A21" s="19" t="s">
        <v>36</v>
      </c>
      <c r="B21" s="26" t="s">
        <v>96</v>
      </c>
      <c r="C21" s="34">
        <v>1</v>
      </c>
    </row>
    <row r="22" spans="1:3" x14ac:dyDescent="0.25">
      <c r="A22" s="19" t="s">
        <v>53</v>
      </c>
      <c r="B22" s="26" t="s">
        <v>96</v>
      </c>
      <c r="C22" s="34">
        <v>1</v>
      </c>
    </row>
    <row r="23" spans="1:3" ht="15" customHeight="1" x14ac:dyDescent="0.25">
      <c r="A23" s="19" t="s">
        <v>37</v>
      </c>
      <c r="B23" s="26" t="s">
        <v>96</v>
      </c>
      <c r="C23" s="34">
        <v>1</v>
      </c>
    </row>
    <row r="24" spans="1:3" x14ac:dyDescent="0.25">
      <c r="A24" s="19" t="s">
        <v>38</v>
      </c>
      <c r="B24" s="26" t="s">
        <v>96</v>
      </c>
      <c r="C24" s="34">
        <v>1</v>
      </c>
    </row>
    <row r="25" spans="1:3" x14ac:dyDescent="0.25">
      <c r="A25" s="19" t="s">
        <v>39</v>
      </c>
      <c r="B25" s="26" t="s">
        <v>96</v>
      </c>
      <c r="C25" s="34">
        <v>1</v>
      </c>
    </row>
    <row r="26" spans="1:3" x14ac:dyDescent="0.25">
      <c r="A26" s="19" t="s">
        <v>40</v>
      </c>
      <c r="B26" s="26" t="s">
        <v>96</v>
      </c>
      <c r="C26" s="34">
        <v>1</v>
      </c>
    </row>
    <row r="27" spans="1:3" x14ac:dyDescent="0.25">
      <c r="C27" s="1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workbookViewId="0">
      <selection activeCell="I26" sqref="I26"/>
    </sheetView>
  </sheetViews>
  <sheetFormatPr defaultRowHeight="15" x14ac:dyDescent="0.25"/>
  <cols>
    <col min="1" max="1" width="22" customWidth="1"/>
    <col min="2" max="2" width="11" customWidth="1"/>
    <col min="3" max="3" width="11.85546875" customWidth="1"/>
    <col min="4" max="4" width="11.42578125" customWidth="1"/>
    <col min="5" max="5" width="11.5703125" customWidth="1"/>
    <col min="6" max="6" width="12.42578125" customWidth="1"/>
    <col min="7" max="7" width="16.140625" customWidth="1"/>
    <col min="8" max="8" width="10" customWidth="1"/>
  </cols>
  <sheetData>
    <row r="2" spans="1:7" x14ac:dyDescent="0.25">
      <c r="G2" t="s">
        <v>71</v>
      </c>
    </row>
    <row r="3" spans="1:7" s="15" customFormat="1" ht="63" customHeight="1" x14ac:dyDescent="0.25">
      <c r="A3" s="16" t="s">
        <v>63</v>
      </c>
      <c r="B3" s="17"/>
      <c r="C3" s="28"/>
      <c r="D3" s="28"/>
      <c r="E3" s="17" t="s">
        <v>65</v>
      </c>
      <c r="F3" s="17" t="s">
        <v>66</v>
      </c>
      <c r="G3" s="20" t="s">
        <v>92</v>
      </c>
    </row>
    <row r="4" spans="1:7" x14ac:dyDescent="0.25">
      <c r="A4" s="12" t="s">
        <v>41</v>
      </c>
      <c r="B4" s="29">
        <f>(C4/D4)/(E4/F4)</f>
        <v>0.26825510869794827</v>
      </c>
      <c r="C4" s="36">
        <v>21269.04783</v>
      </c>
      <c r="D4" s="36">
        <v>63861.232999999993</v>
      </c>
      <c r="E4" s="49">
        <f>21269047.83/1000</f>
        <v>21269.04783</v>
      </c>
      <c r="F4" s="40">
        <v>17131.101999999999</v>
      </c>
      <c r="G4" s="34">
        <v>1</v>
      </c>
    </row>
    <row r="5" spans="1:7" x14ac:dyDescent="0.25">
      <c r="A5" s="14" t="s">
        <v>42</v>
      </c>
      <c r="B5" s="29">
        <f t="shared" ref="B5:B26" si="0">(C5/D5)/(E5/F5)</f>
        <v>0.37081321308030496</v>
      </c>
      <c r="C5" s="36">
        <v>29627.223559999999</v>
      </c>
      <c r="D5" s="36">
        <v>63861.232999999993</v>
      </c>
      <c r="E5" s="49">
        <f>29627223.56/1000</f>
        <v>29627.223559999999</v>
      </c>
      <c r="F5" s="40">
        <v>23680.589</v>
      </c>
      <c r="G5" s="34">
        <v>1</v>
      </c>
    </row>
    <row r="6" spans="1:7" x14ac:dyDescent="0.25">
      <c r="A6" s="14" t="s">
        <v>43</v>
      </c>
      <c r="B6" s="29">
        <f t="shared" si="0"/>
        <v>0.14496691600051004</v>
      </c>
      <c r="C6" s="36">
        <v>14741.003289999999</v>
      </c>
      <c r="D6" s="36">
        <v>63861.232999999993</v>
      </c>
      <c r="E6" s="49">
        <f>14741003.29/1000</f>
        <v>14741.003289999999</v>
      </c>
      <c r="F6" s="40">
        <v>9257.7659999999996</v>
      </c>
      <c r="G6" s="34">
        <v>1</v>
      </c>
    </row>
    <row r="7" spans="1:7" x14ac:dyDescent="0.25">
      <c r="A7" s="14" t="s">
        <v>22</v>
      </c>
      <c r="B7" s="29">
        <f t="shared" si="0"/>
        <v>7.5565092831828039E-3</v>
      </c>
      <c r="C7" s="36">
        <v>565.06899999999996</v>
      </c>
      <c r="D7" s="36">
        <v>63861.232999999993</v>
      </c>
      <c r="E7" s="49">
        <v>565.06899999999996</v>
      </c>
      <c r="F7" s="40">
        <v>482.56799999999998</v>
      </c>
      <c r="G7" s="34">
        <v>1</v>
      </c>
    </row>
    <row r="8" spans="1:7" x14ac:dyDescent="0.25">
      <c r="A8" s="14" t="s">
        <v>23</v>
      </c>
      <c r="B8" s="29">
        <f t="shared" si="0"/>
        <v>3.4209016916413129E-3</v>
      </c>
      <c r="C8" s="36">
        <v>262.00200000000001</v>
      </c>
      <c r="D8" s="36">
        <v>63861.232999999993</v>
      </c>
      <c r="E8" s="49">
        <v>262.00200000000001</v>
      </c>
      <c r="F8" s="40">
        <v>218.46299999999999</v>
      </c>
      <c r="G8" s="34">
        <v>1</v>
      </c>
    </row>
    <row r="9" spans="1:7" ht="17.25" customHeight="1" x14ac:dyDescent="0.25">
      <c r="A9" s="14" t="s">
        <v>24</v>
      </c>
      <c r="B9" s="29">
        <f t="shared" si="0"/>
        <v>5.1911932235946664E-3</v>
      </c>
      <c r="C9" s="36">
        <v>274.55799999999999</v>
      </c>
      <c r="D9" s="36">
        <v>63861.232999999993</v>
      </c>
      <c r="E9" s="49">
        <v>274.55799999999999</v>
      </c>
      <c r="F9" s="40">
        <v>331.51600000000002</v>
      </c>
      <c r="G9" s="34">
        <v>1</v>
      </c>
    </row>
    <row r="10" spans="1:7" ht="17.25" customHeight="1" x14ac:dyDescent="0.25">
      <c r="A10" s="14" t="s">
        <v>25</v>
      </c>
      <c r="B10" s="29">
        <f t="shared" si="0"/>
        <v>4.7023363924088351E-3</v>
      </c>
      <c r="C10" s="36">
        <v>334.67599999999999</v>
      </c>
      <c r="D10" s="36">
        <v>63861.232999999993</v>
      </c>
      <c r="E10" s="49">
        <v>334.67599999999999</v>
      </c>
      <c r="F10" s="40">
        <v>300.29700000000003</v>
      </c>
      <c r="G10" s="34">
        <v>1</v>
      </c>
    </row>
    <row r="11" spans="1:7" x14ac:dyDescent="0.25">
      <c r="A11" s="14" t="s">
        <v>26</v>
      </c>
      <c r="B11" s="29">
        <f t="shared" si="0"/>
        <v>3.3956751195204772E-3</v>
      </c>
      <c r="C11" s="36">
        <v>215.77</v>
      </c>
      <c r="D11" s="36">
        <v>63861.232999999993</v>
      </c>
      <c r="E11" s="49">
        <v>215.77</v>
      </c>
      <c r="F11" s="40">
        <v>216.852</v>
      </c>
      <c r="G11" s="34">
        <v>1</v>
      </c>
    </row>
    <row r="12" spans="1:7" x14ac:dyDescent="0.25">
      <c r="A12" s="14" t="s">
        <v>27</v>
      </c>
      <c r="B12" s="29">
        <f t="shared" si="0"/>
        <v>3.3396630472199E-3</v>
      </c>
      <c r="C12" s="36">
        <v>221.815</v>
      </c>
      <c r="D12" s="36">
        <v>63861.232999999993</v>
      </c>
      <c r="E12" s="49">
        <v>221.815</v>
      </c>
      <c r="F12" s="40">
        <v>213.27500000000001</v>
      </c>
      <c r="G12" s="34">
        <v>1</v>
      </c>
    </row>
    <row r="13" spans="1:7" x14ac:dyDescent="0.25">
      <c r="A13" s="14" t="s">
        <v>28</v>
      </c>
      <c r="B13" s="29">
        <f t="shared" si="0"/>
        <v>4.4510102083371939E-3</v>
      </c>
      <c r="C13" s="36">
        <v>114.27</v>
      </c>
      <c r="D13" s="36">
        <v>63861.232999999993</v>
      </c>
      <c r="E13" s="49">
        <v>114.27</v>
      </c>
      <c r="F13" s="40">
        <v>284.24700000000001</v>
      </c>
      <c r="G13" s="34">
        <v>1</v>
      </c>
    </row>
    <row r="14" spans="1:7" x14ac:dyDescent="0.25">
      <c r="A14" s="14" t="s">
        <v>29</v>
      </c>
      <c r="B14" s="29">
        <f t="shared" si="0"/>
        <v>2.3308350466706459E-3</v>
      </c>
      <c r="C14" s="36">
        <v>316.30053999999996</v>
      </c>
      <c r="D14" s="36">
        <v>63861.232999999993</v>
      </c>
      <c r="E14" s="49">
        <f>316300.54/1000</f>
        <v>316.30053999999996</v>
      </c>
      <c r="F14" s="40">
        <v>148.85</v>
      </c>
      <c r="G14" s="34">
        <v>1</v>
      </c>
    </row>
    <row r="15" spans="1:7" x14ac:dyDescent="0.25">
      <c r="A15" s="14" t="s">
        <v>30</v>
      </c>
      <c r="B15" s="29">
        <f t="shared" si="0"/>
        <v>2.8029367989183675E-3</v>
      </c>
      <c r="C15" s="36">
        <v>190.11500000000001</v>
      </c>
      <c r="D15" s="36">
        <v>63861.232999999993</v>
      </c>
      <c r="E15" s="49">
        <v>190.11500000000001</v>
      </c>
      <c r="F15" s="40">
        <v>178.999</v>
      </c>
      <c r="G15" s="34">
        <v>1</v>
      </c>
    </row>
    <row r="16" spans="1:7" x14ac:dyDescent="0.25">
      <c r="A16" s="19" t="s">
        <v>31</v>
      </c>
      <c r="B16" s="29">
        <f t="shared" si="0"/>
        <v>4.081349321896118E-3</v>
      </c>
      <c r="C16" s="36">
        <v>269.75700000000001</v>
      </c>
      <c r="D16" s="36">
        <v>63861.232999999993</v>
      </c>
      <c r="E16" s="49">
        <v>269.75700000000001</v>
      </c>
      <c r="F16" s="40">
        <v>260.64</v>
      </c>
      <c r="G16" s="34">
        <v>1</v>
      </c>
    </row>
    <row r="17" spans="1:7" x14ac:dyDescent="0.25">
      <c r="A17" s="19" t="s">
        <v>32</v>
      </c>
      <c r="B17" s="29">
        <f t="shared" si="0"/>
        <v>5.0777127964316011E-3</v>
      </c>
      <c r="C17" s="36">
        <v>490.18279999999999</v>
      </c>
      <c r="D17" s="36">
        <v>63861.232999999993</v>
      </c>
      <c r="E17" s="49">
        <f>490182.8/1000</f>
        <v>490.18279999999999</v>
      </c>
      <c r="F17" s="40">
        <v>324.26900000000001</v>
      </c>
      <c r="G17" s="34">
        <v>1</v>
      </c>
    </row>
    <row r="18" spans="1:7" x14ac:dyDescent="0.25">
      <c r="A18" s="19" t="s">
        <v>33</v>
      </c>
      <c r="B18" s="29">
        <f t="shared" si="0"/>
        <v>0.14363059667200603</v>
      </c>
      <c r="C18" s="36">
        <v>10974.3796</v>
      </c>
      <c r="D18" s="36">
        <v>63861.232999999993</v>
      </c>
      <c r="E18" s="49">
        <f>10974379.6/1000</f>
        <v>10974.3796</v>
      </c>
      <c r="F18" s="40">
        <v>9172.4269999999997</v>
      </c>
      <c r="G18" s="34">
        <v>1</v>
      </c>
    </row>
    <row r="19" spans="1:7" x14ac:dyDescent="0.25">
      <c r="A19" s="19" t="s">
        <v>34</v>
      </c>
      <c r="B19" s="29">
        <f t="shared" si="0"/>
        <v>7.1678540876277796E-3</v>
      </c>
      <c r="C19" s="36">
        <v>805.93528000000003</v>
      </c>
      <c r="D19" s="36">
        <v>63861.232999999993</v>
      </c>
      <c r="E19" s="49">
        <f>805935.28/1000</f>
        <v>805.93528000000003</v>
      </c>
      <c r="F19" s="40">
        <v>457.74799999999999</v>
      </c>
      <c r="G19" s="34">
        <v>1</v>
      </c>
    </row>
    <row r="20" spans="1:7" x14ac:dyDescent="0.25">
      <c r="A20" s="19" t="s">
        <v>35</v>
      </c>
      <c r="B20" s="29">
        <f t="shared" si="0"/>
        <v>2.369199479753233E-3</v>
      </c>
      <c r="C20" s="36">
        <v>193.09917999999999</v>
      </c>
      <c r="D20" s="36">
        <v>63861.232999999993</v>
      </c>
      <c r="E20" s="49">
        <f>193099.18/1000</f>
        <v>193.09917999999999</v>
      </c>
      <c r="F20" s="40">
        <v>151.30000000000001</v>
      </c>
      <c r="G20" s="34">
        <v>1</v>
      </c>
    </row>
    <row r="21" spans="1:7" ht="12.75" customHeight="1" x14ac:dyDescent="0.25">
      <c r="A21" s="19" t="s">
        <v>36</v>
      </c>
      <c r="B21" s="29">
        <f t="shared" si="0"/>
        <v>3.0641594408300893E-3</v>
      </c>
      <c r="C21" s="36">
        <v>222.309</v>
      </c>
      <c r="D21" s="36">
        <v>63861.232999999993</v>
      </c>
      <c r="E21" s="49">
        <v>222.309</v>
      </c>
      <c r="F21" s="40">
        <v>195.68100000000001</v>
      </c>
      <c r="G21" s="34">
        <v>1</v>
      </c>
    </row>
    <row r="22" spans="1:7" x14ac:dyDescent="0.25">
      <c r="A22" s="19" t="s">
        <v>53</v>
      </c>
      <c r="B22" s="29">
        <f t="shared" si="0"/>
        <v>1.4800528514693728E-3</v>
      </c>
      <c r="C22" s="36">
        <v>366.79399999999998</v>
      </c>
      <c r="D22" s="36">
        <v>63861.232999999993</v>
      </c>
      <c r="E22" s="49">
        <v>366.79399999999998</v>
      </c>
      <c r="F22" s="40">
        <v>94.518000000000001</v>
      </c>
      <c r="G22" s="34">
        <v>1</v>
      </c>
    </row>
    <row r="23" spans="1:7" ht="15" customHeight="1" x14ac:dyDescent="0.25">
      <c r="A23" s="19" t="s">
        <v>37</v>
      </c>
      <c r="B23" s="29">
        <f t="shared" si="0"/>
        <v>6.2815573886586271E-3</v>
      </c>
      <c r="C23" s="36">
        <v>207.47499999999999</v>
      </c>
      <c r="D23" s="36">
        <v>63861.232999999993</v>
      </c>
      <c r="E23" s="49">
        <v>207.47499999999999</v>
      </c>
      <c r="F23" s="40">
        <v>401.14800000000002</v>
      </c>
      <c r="G23" s="34">
        <v>1</v>
      </c>
    </row>
    <row r="24" spans="1:7" x14ac:dyDescent="0.25">
      <c r="A24" s="19" t="s">
        <v>38</v>
      </c>
      <c r="B24" s="29">
        <f t="shared" si="0"/>
        <v>1.9166714178537707E-3</v>
      </c>
      <c r="C24" s="36">
        <v>133.58799999999999</v>
      </c>
      <c r="D24" s="36">
        <v>63861.232999999993</v>
      </c>
      <c r="E24" s="49">
        <v>133.58799999999999</v>
      </c>
      <c r="F24" s="40">
        <v>122.401</v>
      </c>
      <c r="G24" s="34">
        <v>1</v>
      </c>
    </row>
    <row r="25" spans="1:7" x14ac:dyDescent="0.25">
      <c r="A25" s="19" t="s">
        <v>39</v>
      </c>
      <c r="B25" s="29">
        <f t="shared" si="0"/>
        <v>1.2151033789153433E-3</v>
      </c>
      <c r="C25" s="36">
        <v>161.46899999999999</v>
      </c>
      <c r="D25" s="36">
        <v>63861.232999999993</v>
      </c>
      <c r="E25" s="49">
        <v>161.46899999999999</v>
      </c>
      <c r="F25" s="40">
        <v>77.597999999999999</v>
      </c>
      <c r="G25" s="34">
        <v>1</v>
      </c>
    </row>
    <row r="26" spans="1:7" x14ac:dyDescent="0.25">
      <c r="A26" s="19" t="s">
        <v>40</v>
      </c>
      <c r="B26" s="29">
        <f t="shared" si="0"/>
        <v>2.4894445743006565E-3</v>
      </c>
      <c r="C26" s="36">
        <v>349.33107000000001</v>
      </c>
      <c r="D26" s="36">
        <v>63861.232999999993</v>
      </c>
      <c r="E26" s="49">
        <f>349331.07/1000</f>
        <v>349.33107000000001</v>
      </c>
      <c r="F26" s="40">
        <v>158.97900000000001</v>
      </c>
      <c r="G26" s="34">
        <v>1</v>
      </c>
    </row>
    <row r="27" spans="1:7" x14ac:dyDescent="0.25">
      <c r="A27" s="18" t="s">
        <v>101</v>
      </c>
      <c r="B27" s="18"/>
      <c r="C27" s="35"/>
      <c r="D27" s="35"/>
      <c r="E27" s="36">
        <f>SUM(E4:E26)</f>
        <v>82306.170150000005</v>
      </c>
      <c r="F27" s="36">
        <f t="shared" ref="F27" si="1">SUM(F4:F26)</f>
        <v>63861.232999999993</v>
      </c>
      <c r="G27" s="18"/>
    </row>
    <row r="28" spans="1:7" x14ac:dyDescent="0.25">
      <c r="C28" t="s">
        <v>97</v>
      </c>
    </row>
    <row r="29" spans="1:7" x14ac:dyDescent="0.25">
      <c r="C29" t="s">
        <v>98</v>
      </c>
    </row>
    <row r="30" spans="1:7" x14ac:dyDescent="0.25">
      <c r="B30" t="s">
        <v>65</v>
      </c>
      <c r="C30" t="s">
        <v>99</v>
      </c>
    </row>
    <row r="31" spans="1:7" x14ac:dyDescent="0.25">
      <c r="B31" t="s">
        <v>66</v>
      </c>
      <c r="C31" t="s">
        <v>100</v>
      </c>
    </row>
  </sheetData>
  <pageMargins left="0.7" right="0.7" top="0.75" bottom="0.75" header="0.3" footer="0.3"/>
  <pageSetup paperSize="9" scale="4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workbookViewId="0">
      <selection activeCell="G4" sqref="G4:G26"/>
    </sheetView>
  </sheetViews>
  <sheetFormatPr defaultRowHeight="15" x14ac:dyDescent="0.25"/>
  <cols>
    <col min="1" max="1" width="20.42578125" customWidth="1"/>
    <col min="2" max="2" width="10.28515625" customWidth="1"/>
    <col min="3" max="3" width="11" customWidth="1"/>
    <col min="4" max="4" width="11.5703125" customWidth="1"/>
    <col min="5" max="6" width="11" customWidth="1"/>
    <col min="7" max="7" width="18.28515625" customWidth="1"/>
    <col min="8" max="8" width="10" customWidth="1"/>
  </cols>
  <sheetData>
    <row r="2" spans="1:7" x14ac:dyDescent="0.25">
      <c r="G2" s="22" t="s">
        <v>71</v>
      </c>
    </row>
    <row r="3" spans="1:7" s="15" customFormat="1" ht="63" customHeight="1" x14ac:dyDescent="0.25">
      <c r="A3" s="16" t="s">
        <v>63</v>
      </c>
      <c r="B3" s="20" t="s">
        <v>102</v>
      </c>
      <c r="C3" s="17" t="s">
        <v>65</v>
      </c>
      <c r="D3" s="17" t="s">
        <v>66</v>
      </c>
      <c r="E3" s="17" t="s">
        <v>67</v>
      </c>
      <c r="F3" s="17" t="s">
        <v>82</v>
      </c>
      <c r="G3" s="20" t="s">
        <v>92</v>
      </c>
    </row>
    <row r="4" spans="1:7" x14ac:dyDescent="0.25">
      <c r="A4" s="12" t="s">
        <v>41</v>
      </c>
      <c r="B4" s="29">
        <f t="shared" ref="B4:B13" si="0">(D4/C4)/(F4/E4)</f>
        <v>0.85406817006048119</v>
      </c>
      <c r="C4" s="50">
        <f>42442184/1000</f>
        <v>42442.184000000001</v>
      </c>
      <c r="D4" s="50">
        <v>39848.692999999999</v>
      </c>
      <c r="E4" s="50">
        <f>228821318.15/1000</f>
        <v>228821.31815000001</v>
      </c>
      <c r="F4" s="50">
        <v>251547.67300000001</v>
      </c>
      <c r="G4" s="34">
        <v>1</v>
      </c>
    </row>
    <row r="5" spans="1:7" x14ac:dyDescent="0.25">
      <c r="A5" s="14" t="s">
        <v>42</v>
      </c>
      <c r="B5" s="29">
        <f t="shared" si="0"/>
        <v>0.98046536716190402</v>
      </c>
      <c r="C5" s="49">
        <v>47012.667999999998</v>
      </c>
      <c r="D5" s="49">
        <v>43271.438999999998</v>
      </c>
      <c r="E5" s="49">
        <f>200077379.3/1000</f>
        <v>200077.3793</v>
      </c>
      <c r="F5" s="49">
        <v>187824.47</v>
      </c>
      <c r="G5" s="34">
        <v>1</v>
      </c>
    </row>
    <row r="6" spans="1:7" x14ac:dyDescent="0.25">
      <c r="A6" s="14" t="s">
        <v>43</v>
      </c>
      <c r="B6" s="29">
        <f t="shared" si="0"/>
        <v>1.0006632152886787</v>
      </c>
      <c r="C6" s="49">
        <v>36342.612000000001</v>
      </c>
      <c r="D6" s="49">
        <v>32161.955000000002</v>
      </c>
      <c r="E6" s="49">
        <f>149960844.38/1000</f>
        <v>149960.84437999999</v>
      </c>
      <c r="F6" s="49">
        <v>132622.20499999999</v>
      </c>
      <c r="G6" s="34">
        <v>1</v>
      </c>
    </row>
    <row r="7" spans="1:7" x14ac:dyDescent="0.25">
      <c r="A7" s="14" t="s">
        <v>22</v>
      </c>
      <c r="B7" s="29">
        <f t="shared" si="0"/>
        <v>0.99183420458293248</v>
      </c>
      <c r="C7" s="49">
        <f>19076.431</f>
        <v>19076.431</v>
      </c>
      <c r="D7" s="49">
        <v>17942.946</v>
      </c>
      <c r="E7" s="49">
        <f>24611767.66/1000</f>
        <v>24611.767660000001</v>
      </c>
      <c r="F7" s="49">
        <v>23339.973000000002</v>
      </c>
      <c r="G7" s="34">
        <v>1</v>
      </c>
    </row>
    <row r="8" spans="1:7" x14ac:dyDescent="0.25">
      <c r="A8" s="14" t="s">
        <v>23</v>
      </c>
      <c r="B8" s="29">
        <f t="shared" si="0"/>
        <v>0.91714699017896717</v>
      </c>
      <c r="C8" s="49">
        <v>9674.6740000000009</v>
      </c>
      <c r="D8" s="49">
        <v>9083.89</v>
      </c>
      <c r="E8" s="49">
        <f>16047078.02/1000</f>
        <v>16047.078019999999</v>
      </c>
      <c r="F8" s="49">
        <v>16428.296999999999</v>
      </c>
      <c r="G8" s="34">
        <v>1</v>
      </c>
    </row>
    <row r="9" spans="1:7" ht="15" customHeight="1" x14ac:dyDescent="0.25">
      <c r="A9" s="14" t="s">
        <v>24</v>
      </c>
      <c r="B9" s="29">
        <f t="shared" si="0"/>
        <v>0.96310761777730036</v>
      </c>
      <c r="C9" s="49">
        <f>7207065/1000</f>
        <v>7207.0649999999996</v>
      </c>
      <c r="D9" s="49">
        <v>8012.7150000000001</v>
      </c>
      <c r="E9" s="49">
        <f>13747221.93/1000</f>
        <v>13747.22193</v>
      </c>
      <c r="F9" s="49">
        <v>15869.432000000001</v>
      </c>
      <c r="G9" s="34">
        <v>1</v>
      </c>
    </row>
    <row r="10" spans="1:7" ht="17.25" customHeight="1" x14ac:dyDescent="0.25">
      <c r="A10" s="14" t="s">
        <v>25</v>
      </c>
      <c r="B10" s="29">
        <f t="shared" si="0"/>
        <v>0.99245171704166002</v>
      </c>
      <c r="C10" s="50">
        <f>10628560/1000</f>
        <v>10628.56</v>
      </c>
      <c r="D10" s="50">
        <v>9707.6980000000003</v>
      </c>
      <c r="E10" s="50">
        <f>17752260.59/1000</f>
        <v>17752.260589999998</v>
      </c>
      <c r="F10" s="50">
        <v>16337.519</v>
      </c>
      <c r="G10" s="34">
        <v>1</v>
      </c>
    </row>
    <row r="11" spans="1:7" x14ac:dyDescent="0.25">
      <c r="A11" s="14" t="s">
        <v>26</v>
      </c>
      <c r="B11" s="29">
        <f t="shared" si="0"/>
        <v>0.981622572840115</v>
      </c>
      <c r="C11" s="50">
        <f>9756220/1000</f>
        <v>9756.2199999999993</v>
      </c>
      <c r="D11" s="50">
        <v>9123.7000000000007</v>
      </c>
      <c r="E11" s="50">
        <f>14601659.11/1000</f>
        <v>14601.659109999999</v>
      </c>
      <c r="F11" s="50">
        <v>13910.638999999999</v>
      </c>
      <c r="G11" s="34">
        <v>1</v>
      </c>
    </row>
    <row r="12" spans="1:7" x14ac:dyDescent="0.25">
      <c r="A12" s="14" t="s">
        <v>27</v>
      </c>
      <c r="B12" s="29">
        <f t="shared" si="0"/>
        <v>1.2763891513861294</v>
      </c>
      <c r="C12" s="50">
        <f>7567781/1000</f>
        <v>7567.7809999999999</v>
      </c>
      <c r="D12" s="50">
        <v>7340.62</v>
      </c>
      <c r="E12" s="50">
        <f>20080754.43/1000</f>
        <v>20080.754430000001</v>
      </c>
      <c r="F12" s="50">
        <v>15260.231</v>
      </c>
      <c r="G12" s="54">
        <v>0</v>
      </c>
    </row>
    <row r="13" spans="1:7" x14ac:dyDescent="0.25">
      <c r="A13" s="14" t="s">
        <v>28</v>
      </c>
      <c r="B13" s="29">
        <f t="shared" si="0"/>
        <v>0.84652608020249431</v>
      </c>
      <c r="C13" s="50">
        <f>9754.578</f>
        <v>9754.5779999999995</v>
      </c>
      <c r="D13" s="50">
        <v>9519.1389999999992</v>
      </c>
      <c r="E13" s="50">
        <f>19423451.92/1000</f>
        <v>19423.451920000003</v>
      </c>
      <c r="F13" s="50">
        <v>22391.091</v>
      </c>
      <c r="G13" s="34">
        <v>1</v>
      </c>
    </row>
    <row r="14" spans="1:7" x14ac:dyDescent="0.25">
      <c r="A14" s="14" t="s">
        <v>29</v>
      </c>
      <c r="B14" s="29">
        <f>(D14/C14)/(F14/E14)</f>
        <v>1.1300642955480009</v>
      </c>
      <c r="C14" s="50">
        <f>9307603/1000</f>
        <v>9307.6029999999992</v>
      </c>
      <c r="D14" s="50">
        <v>8407.1190000000006</v>
      </c>
      <c r="E14" s="50">
        <f>18135128.13/1000</f>
        <v>18135.128129999997</v>
      </c>
      <c r="F14" s="50">
        <v>14495.287</v>
      </c>
      <c r="G14" s="54">
        <v>0</v>
      </c>
    </row>
    <row r="15" spans="1:7" x14ac:dyDescent="0.25">
      <c r="A15" s="14" t="s">
        <v>30</v>
      </c>
      <c r="B15" s="29">
        <f t="shared" ref="B15:B26" si="1">(D15/C15)/(F15/E15)</f>
        <v>1.0306314444499229</v>
      </c>
      <c r="C15" s="49">
        <f>9630411/1000</f>
        <v>9630.4110000000001</v>
      </c>
      <c r="D15" s="49">
        <v>8945.59</v>
      </c>
      <c r="E15" s="49">
        <f>12643624.16/1000</f>
        <v>12643.624159999999</v>
      </c>
      <c r="F15" s="49">
        <v>11395.473</v>
      </c>
      <c r="G15" s="54">
        <v>0</v>
      </c>
    </row>
    <row r="16" spans="1:7" x14ac:dyDescent="0.25">
      <c r="A16" s="19" t="s">
        <v>31</v>
      </c>
      <c r="B16" s="29">
        <f t="shared" si="1"/>
        <v>0.97087516823828035</v>
      </c>
      <c r="C16" s="49">
        <f>12541346/1000</f>
        <v>12541.346</v>
      </c>
      <c r="D16" s="49">
        <v>11793.307000000001</v>
      </c>
      <c r="E16" s="49">
        <f>19542441.61/1000</f>
        <v>19542.441609999998</v>
      </c>
      <c r="F16" s="49">
        <v>18928.094000000001</v>
      </c>
      <c r="G16" s="34">
        <v>1</v>
      </c>
    </row>
    <row r="17" spans="1:7" x14ac:dyDescent="0.25">
      <c r="A17" s="19" t="s">
        <v>32</v>
      </c>
      <c r="B17" s="29">
        <f t="shared" si="1"/>
        <v>0.91388762471326468</v>
      </c>
      <c r="C17" s="50">
        <f>11375962/1000</f>
        <v>11375.962</v>
      </c>
      <c r="D17" s="50">
        <v>9547.8989999999994</v>
      </c>
      <c r="E17" s="50">
        <f>18056253.76/1000</f>
        <v>18056.253760000003</v>
      </c>
      <c r="F17" s="50">
        <v>16582.672999999999</v>
      </c>
      <c r="G17" s="34">
        <v>1</v>
      </c>
    </row>
    <row r="18" spans="1:7" x14ac:dyDescent="0.25">
      <c r="A18" s="19" t="s">
        <v>33</v>
      </c>
      <c r="B18" s="29">
        <f t="shared" si="1"/>
        <v>0.91205483029052636</v>
      </c>
      <c r="C18" s="49">
        <f>10086102/1000</f>
        <v>10086.102000000001</v>
      </c>
      <c r="D18" s="49">
        <v>7965.8190000000004</v>
      </c>
      <c r="E18" s="49">
        <f>21229932.47/1000</f>
        <v>21229.93247</v>
      </c>
      <c r="F18" s="49">
        <v>18383.776999999998</v>
      </c>
      <c r="G18" s="34">
        <v>1</v>
      </c>
    </row>
    <row r="19" spans="1:7" x14ac:dyDescent="0.25">
      <c r="A19" s="19" t="s">
        <v>34</v>
      </c>
      <c r="B19" s="29">
        <f t="shared" si="1"/>
        <v>0.68132192155488758</v>
      </c>
      <c r="C19" s="49">
        <f>8829627/1000</f>
        <v>8829.6270000000004</v>
      </c>
      <c r="D19" s="49">
        <v>7757.6260000000002</v>
      </c>
      <c r="E19" s="49">
        <f>12745448.37/1000</f>
        <v>12745.44837</v>
      </c>
      <c r="F19" s="49">
        <v>16435.739000000001</v>
      </c>
      <c r="G19" s="34">
        <v>1</v>
      </c>
    </row>
    <row r="20" spans="1:7" x14ac:dyDescent="0.25">
      <c r="A20" s="19" t="s">
        <v>35</v>
      </c>
      <c r="B20" s="29">
        <f t="shared" si="1"/>
        <v>0.9702202688175785</v>
      </c>
      <c r="C20" s="49">
        <f>8328276/1000</f>
        <v>8328.2759999999998</v>
      </c>
      <c r="D20" s="49">
        <v>7776.6049999999996</v>
      </c>
      <c r="E20" s="49">
        <f>23059577.57/1000</f>
        <v>23059.577570000001</v>
      </c>
      <c r="F20" s="49">
        <v>22192.995999999999</v>
      </c>
      <c r="G20" s="34">
        <v>1</v>
      </c>
    </row>
    <row r="21" spans="1:7" ht="12.75" customHeight="1" x14ac:dyDescent="0.25">
      <c r="A21" s="19" t="s">
        <v>36</v>
      </c>
      <c r="B21" s="29">
        <f t="shared" si="1"/>
        <v>1.0193985824890617</v>
      </c>
      <c r="C21" s="49">
        <f>6592.101</f>
        <v>6592.1009999999997</v>
      </c>
      <c r="D21" s="49">
        <v>5857.2280000000001</v>
      </c>
      <c r="E21" s="49">
        <f>10523262.42/1000</f>
        <v>10523.262419999999</v>
      </c>
      <c r="F21" s="49">
        <v>9172.2240000000002</v>
      </c>
      <c r="G21" s="54">
        <v>0</v>
      </c>
    </row>
    <row r="22" spans="1:7" x14ac:dyDescent="0.25">
      <c r="A22" s="19" t="s">
        <v>53</v>
      </c>
      <c r="B22" s="29">
        <f t="shared" si="1"/>
        <v>0.59095024099563409</v>
      </c>
      <c r="C22" s="49">
        <f>6315097/1000</f>
        <v>6315.0969999999998</v>
      </c>
      <c r="D22" s="49">
        <v>5051.5829999999996</v>
      </c>
      <c r="E22" s="49">
        <f>8041947.7/1000</f>
        <v>8041.9477000000006</v>
      </c>
      <c r="F22" s="49">
        <v>10885.736000000001</v>
      </c>
      <c r="G22" s="34">
        <v>1</v>
      </c>
    </row>
    <row r="23" spans="1:7" ht="15" customHeight="1" x14ac:dyDescent="0.25">
      <c r="A23" s="19" t="s">
        <v>37</v>
      </c>
      <c r="B23" s="29">
        <f t="shared" si="1"/>
        <v>0.92296293442709632</v>
      </c>
      <c r="C23" s="49">
        <f>5479575/1000</f>
        <v>5479.5749999999998</v>
      </c>
      <c r="D23" s="49">
        <v>5088.29</v>
      </c>
      <c r="E23" s="49">
        <f>16548544.35/1000</f>
        <v>16548.54435</v>
      </c>
      <c r="F23" s="49">
        <v>16649.473999999998</v>
      </c>
      <c r="G23" s="34">
        <v>1</v>
      </c>
    </row>
    <row r="24" spans="1:7" x14ac:dyDescent="0.25">
      <c r="A24" s="19" t="s">
        <v>38</v>
      </c>
      <c r="B24" s="29">
        <f t="shared" si="1"/>
        <v>1.0604405011464637</v>
      </c>
      <c r="C24" s="49">
        <f>4634854/1000</f>
        <v>4634.8540000000003</v>
      </c>
      <c r="D24" s="49">
        <v>5083.8</v>
      </c>
      <c r="E24" s="49">
        <f>6183370.24/1000</f>
        <v>6183.3702400000002</v>
      </c>
      <c r="F24" s="49">
        <v>6395.7479999999996</v>
      </c>
      <c r="G24" s="54">
        <v>0</v>
      </c>
    </row>
    <row r="25" spans="1:7" x14ac:dyDescent="0.25">
      <c r="A25" s="19" t="s">
        <v>39</v>
      </c>
      <c r="B25" s="29">
        <f t="shared" si="1"/>
        <v>0.82924037264035255</v>
      </c>
      <c r="C25" s="49">
        <f>4894121/1000</f>
        <v>4894.1210000000001</v>
      </c>
      <c r="D25" s="49">
        <v>4729.0630000000001</v>
      </c>
      <c r="E25" s="49">
        <f>6760978.01/1000</f>
        <v>6760.9780099999998</v>
      </c>
      <c r="F25" s="49">
        <v>7878.2449999999999</v>
      </c>
      <c r="G25" s="34">
        <v>1</v>
      </c>
    </row>
    <row r="26" spans="1:7" x14ac:dyDescent="0.25">
      <c r="A26" s="19" t="s">
        <v>40</v>
      </c>
      <c r="B26" s="29">
        <f t="shared" si="1"/>
        <v>0.99856716903257869</v>
      </c>
      <c r="C26" s="50">
        <f>4801212/1000</f>
        <v>4801.2120000000004</v>
      </c>
      <c r="D26" s="50">
        <v>4760.2719999999999</v>
      </c>
      <c r="E26" s="50">
        <f>7199486.76/1000</f>
        <v>7199.4867599999998</v>
      </c>
      <c r="F26" s="50">
        <v>7148.3389999999999</v>
      </c>
      <c r="G26" s="34">
        <v>1</v>
      </c>
    </row>
    <row r="27" spans="1:7" x14ac:dyDescent="0.25">
      <c r="A27" s="18" t="s">
        <v>101</v>
      </c>
      <c r="B27" s="18"/>
      <c r="C27" s="41">
        <f>SUM(C4:C26)</f>
        <v>302279.06000000006</v>
      </c>
      <c r="D27" s="41">
        <f>SUM(D4:D26)</f>
        <v>278776.99600000004</v>
      </c>
      <c r="E27" s="41">
        <f>SUM(E4:E26)</f>
        <v>885793.73103999987</v>
      </c>
      <c r="F27" s="41">
        <f>SUM(F4:F26)</f>
        <v>872075.33500000031</v>
      </c>
      <c r="G27" s="39"/>
    </row>
    <row r="28" spans="1:7" x14ac:dyDescent="0.25">
      <c r="B28" t="s">
        <v>65</v>
      </c>
      <c r="C28" t="s">
        <v>103</v>
      </c>
    </row>
    <row r="29" spans="1:7" x14ac:dyDescent="0.25">
      <c r="B29" t="s">
        <v>66</v>
      </c>
      <c r="C29" t="s">
        <v>104</v>
      </c>
    </row>
    <row r="30" spans="1:7" x14ac:dyDescent="0.25">
      <c r="B30" t="s">
        <v>67</v>
      </c>
      <c r="C30" t="s">
        <v>105</v>
      </c>
    </row>
    <row r="31" spans="1:7" x14ac:dyDescent="0.25">
      <c r="B31" t="s">
        <v>82</v>
      </c>
      <c r="C31" t="s">
        <v>106</v>
      </c>
    </row>
  </sheetData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Лист1</vt:lpstr>
      <vt:lpstr>БК 1</vt:lpstr>
      <vt:lpstr>БК 2</vt:lpstr>
      <vt:lpstr>БК 3</vt:lpstr>
      <vt:lpstr>БК 4</vt:lpstr>
      <vt:lpstr>БК 5</vt:lpstr>
      <vt:lpstr>БК6</vt:lpstr>
      <vt:lpstr>ОБП 1</vt:lpstr>
      <vt:lpstr>ОБП  (2)</vt:lpstr>
      <vt:lpstr>ОБП  (3)</vt:lpstr>
      <vt:lpstr>ОБП  (4)</vt:lpstr>
      <vt:lpstr>ОБП  (5)</vt:lpstr>
      <vt:lpstr>ОБП  (6)</vt:lpstr>
      <vt:lpstr>ОБП  7</vt:lpstr>
      <vt:lpstr>ОБП  (8)</vt:lpstr>
    </vt:vector>
  </TitlesOfParts>
  <Company>RFU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olyat</dc:creator>
  <cp:lastModifiedBy>Баклыкова А.Л.</cp:lastModifiedBy>
  <cp:lastPrinted>2025-07-01T08:36:01Z</cp:lastPrinted>
  <dcterms:created xsi:type="dcterms:W3CDTF">2016-04-13T03:18:55Z</dcterms:created>
  <dcterms:modified xsi:type="dcterms:W3CDTF">2025-07-01T09:02:47Z</dcterms:modified>
</cp:coreProperties>
</file>